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20" yWindow="45" windowWidth="12120" windowHeight="8580" activeTab="1"/>
  </bookViews>
  <sheets>
    <sheet name="Condensed Balance Sheet" sheetId="1" r:id="rId1"/>
    <sheet name="Condensed Income Statement" sheetId="2" r:id="rId2"/>
    <sheet name="General fund Revenue Account" sheetId="3" r:id="rId3"/>
    <sheet name="Life fund Balance Sheet" sheetId="4" r:id="rId4"/>
    <sheet name="Life Fund Revenue Account" sheetId="5" r:id="rId5"/>
    <sheet name="Cond Stmt of changes  in equity" sheetId="6" r:id="rId6"/>
    <sheet name="Condensed Cashflow Statement" sheetId="7" r:id="rId7"/>
  </sheets>
  <definedNames>
    <definedName name="_xlnm.Print_Area" localSheetId="5">'Cond Stmt of changes  in equity'!$A$1:$I$52</definedName>
    <definedName name="_xlnm.Print_Area" localSheetId="0">'Condensed Balance Sheet'!$A$1:$F$103</definedName>
    <definedName name="_xlnm.Print_Area" localSheetId="6">'Condensed Cashflow Statement'!$A$1:$F$35</definedName>
    <definedName name="_xlnm.Print_Area" localSheetId="1">'Condensed Income Statement'!$A$1:$H$65</definedName>
    <definedName name="_xlnm.Print_Area" localSheetId="2">'General fund Revenue Account'!$A$1:$H$40</definedName>
    <definedName name="_xlnm.Print_Area" localSheetId="3">'Life fund Balance Sheet'!$A$1:$F$57</definedName>
    <definedName name="_xlnm.Print_Area" localSheetId="4">'Life Fund Revenue Account'!$A$1:$H$57</definedName>
    <definedName name="_xlnm.Print_Titles" localSheetId="0">'Condensed Balance Sheet'!$1:$14</definedName>
  </definedNames>
  <calcPr fullCalcOnLoad="1"/>
</workbook>
</file>

<file path=xl/sharedStrings.xml><?xml version="1.0" encoding="utf-8"?>
<sst xmlns="http://schemas.openxmlformats.org/spreadsheetml/2006/main" count="262" uniqueCount="170">
  <si>
    <t>MAA HOLDINGS BERHAD</t>
  </si>
  <si>
    <t>CONDENSED LIFE FUND BALANCE SHEET</t>
  </si>
  <si>
    <t>AS AT</t>
  </si>
  <si>
    <t xml:space="preserve">END OF </t>
  </si>
  <si>
    <t>CURRENT</t>
  </si>
  <si>
    <t>PRECEDING</t>
  </si>
  <si>
    <t>QUARTER</t>
  </si>
  <si>
    <t>(Audited)</t>
  </si>
  <si>
    <t>RM'000</t>
  </si>
  <si>
    <t>ASSETS</t>
  </si>
  <si>
    <t>Property, plant and equipment</t>
  </si>
  <si>
    <t>Cash and bank balances</t>
  </si>
  <si>
    <t>Investment-linked fund assets</t>
  </si>
  <si>
    <t>TOTAL LIFE FUND ASSETS</t>
  </si>
  <si>
    <t>LIABILITIES</t>
  </si>
  <si>
    <t>Provision for outstanding claims</t>
  </si>
  <si>
    <t>Provision for agents' retirement benefits</t>
  </si>
  <si>
    <t>Current tax liabilities</t>
  </si>
  <si>
    <t>Investment-linked fund liabilities</t>
  </si>
  <si>
    <t>TOTAL LIFE FUND LIABILITIES</t>
  </si>
  <si>
    <t>LIFE POLICYHOLDERS' FUND</t>
  </si>
  <si>
    <t>TOTAL LIFE FUND LIABILITIES AND LIFE POLICYHOLDERS' FUND</t>
  </si>
  <si>
    <t>CONDENSED CONSOLIDATED BALANCE SHEET</t>
  </si>
  <si>
    <t>FINANCIAL</t>
  </si>
  <si>
    <t>YEAR ENDED</t>
  </si>
  <si>
    <t>Associated companies</t>
  </si>
  <si>
    <t>Tax recoverable</t>
  </si>
  <si>
    <t>TOTAL ASSETS</t>
  </si>
  <si>
    <t>Life policyholders' fund</t>
  </si>
  <si>
    <t>SHAREHOLDERS' FUND</t>
  </si>
  <si>
    <t>Share capital</t>
  </si>
  <si>
    <t>Share premium</t>
  </si>
  <si>
    <t>Reserves</t>
  </si>
  <si>
    <t>Minority interests</t>
  </si>
  <si>
    <t>3 months ended</t>
  </si>
  <si>
    <t>Gross premium</t>
  </si>
  <si>
    <t>Reinsurance</t>
  </si>
  <si>
    <t>Net premium</t>
  </si>
  <si>
    <t xml:space="preserve">Net benefits paid and payable </t>
  </si>
  <si>
    <t>Commission and agency expenses</t>
  </si>
  <si>
    <t>Management expenses</t>
  </si>
  <si>
    <t>Investment income</t>
  </si>
  <si>
    <t>Surplus from operations</t>
  </si>
  <si>
    <t>Finance costs</t>
  </si>
  <si>
    <t>Taxation</t>
  </si>
  <si>
    <t>Earned premium</t>
  </si>
  <si>
    <t>Net claims incurred</t>
  </si>
  <si>
    <t>Net commission</t>
  </si>
  <si>
    <t xml:space="preserve">CONDENSED CONSOLIDATED INCOME STATEMENT </t>
  </si>
  <si>
    <t xml:space="preserve"> - General insurance</t>
  </si>
  <si>
    <t>The Condensed General Insurance and Life Insurance Revenue Accounts are attached.</t>
  </si>
  <si>
    <t>GENERAL AND SHAREHOLDERS' FUND ASSETS</t>
  </si>
  <si>
    <t>TOTAL GENERAL AND SHAREHOLDERS' FUND ASSETS</t>
  </si>
  <si>
    <t>GENERAL AND SHAREHOLDERS' FUND LIABILITIES</t>
  </si>
  <si>
    <t>TOTAL GENERAL AND SHAREHOLDERS' FUND LIABILITIES</t>
  </si>
  <si>
    <t>Unearned premium reserves</t>
  </si>
  <si>
    <t>TOTAL LIABILITIES</t>
  </si>
  <si>
    <t>OPERATING REVENUE</t>
  </si>
  <si>
    <t xml:space="preserve">CONDENSED CONSOLIDATED STATEMENT OF CHANGES IN EQUITY </t>
  </si>
  <si>
    <t>Share</t>
  </si>
  <si>
    <t xml:space="preserve">Retained </t>
  </si>
  <si>
    <t>Capital</t>
  </si>
  <si>
    <t>premium</t>
  </si>
  <si>
    <t>earnings</t>
  </si>
  <si>
    <t>Total</t>
  </si>
  <si>
    <t xml:space="preserve">CONDENSED CONSOLIDATED CASHFLOW STATEMENT </t>
  </si>
  <si>
    <t>Operating activities</t>
  </si>
  <si>
    <t>Investing activities</t>
  </si>
  <si>
    <t>Financing activities</t>
  </si>
  <si>
    <t>Intangible asset</t>
  </si>
  <si>
    <t>Deferred tax assets</t>
  </si>
  <si>
    <t>Current tax liabitilies</t>
  </si>
  <si>
    <t>Deferred tax liabilities</t>
  </si>
  <si>
    <t>Net cash outflows from investing activities</t>
  </si>
  <si>
    <t>Income taxes paid</t>
  </si>
  <si>
    <t>Cash and cash equivalents at beginning of financial year</t>
  </si>
  <si>
    <t>Other operating income - net</t>
  </si>
  <si>
    <t>Fixed and call deposits</t>
  </si>
  <si>
    <t>Others assets</t>
  </si>
  <si>
    <t>TOTAL LIABILITIES AND SHAREHOLDERS' EQUITY</t>
  </si>
  <si>
    <t>31.12.2005</t>
  </si>
  <si>
    <t>Surplus / (deficit) from investment-linked fund</t>
  </si>
  <si>
    <t>CONDENSED GENERAL FUND REVENUE ACCOUNT</t>
  </si>
  <si>
    <t>Underwriting contribution</t>
  </si>
  <si>
    <t>CONDENSED LIFE FUND REVENUE ACCOUNT</t>
  </si>
  <si>
    <t>Investment properties</t>
  </si>
  <si>
    <t>Financial assets:</t>
  </si>
  <si>
    <t xml:space="preserve">  Investments</t>
  </si>
  <si>
    <t xml:space="preserve">  - held-to-maturity</t>
  </si>
  <si>
    <t>Insurance receivables</t>
  </si>
  <si>
    <t>Insurance payables</t>
  </si>
  <si>
    <t>Financial liabilities</t>
  </si>
  <si>
    <t xml:space="preserve">  Borrowing</t>
  </si>
  <si>
    <t xml:space="preserve">  - bonds - unsecured</t>
  </si>
  <si>
    <t xml:space="preserve">  - bank overdrafts - unsecured</t>
  </si>
  <si>
    <t>Life fund assets revaluation reserve</t>
  </si>
  <si>
    <t xml:space="preserve"> EQUITY</t>
  </si>
  <si>
    <t>Retained earnings</t>
  </si>
  <si>
    <t>The Condensed Balance Sheet should be read in conjunction with the Annual Financial  Reports for the year ended 31 December 2005</t>
  </si>
  <si>
    <t>Attributable to :</t>
  </si>
  <si>
    <t xml:space="preserve"> - Equity holders of the Company</t>
  </si>
  <si>
    <t xml:space="preserve"> - Minority interest</t>
  </si>
  <si>
    <t>The Condensed General Fund Revenue Account should be read in conjunction with the Annual Financial Reports for the year ended 31 December 2005</t>
  </si>
  <si>
    <t>The Condensed Life Fund Balance Sheet should be read in conjunction with the Annual Financial Reports for the year ended 31 December 2005</t>
  </si>
  <si>
    <t>The Condensed Life Fund Revenue Account should be read in conjunction with the Annual Financial Reports for the year ended 31 December 2005</t>
  </si>
  <si>
    <t>Minority</t>
  </si>
  <si>
    <t>interest</t>
  </si>
  <si>
    <t>Other</t>
  </si>
  <si>
    <t>The Condensed Consolidated Statement of Changes in Equity should be read in conjunction with the Annual Financial Reports for the year ended 31 December 2005</t>
  </si>
  <si>
    <t>* Consistent with prior years' practice, no profit was transferred from the Life Insurance Fund to the Shareholders' Fund as the transfer of life business profit is only done at the financial year end.</t>
  </si>
  <si>
    <t>Surplus transferred to Condensed Consolidated Income Statement  *</t>
  </si>
  <si>
    <t xml:space="preserve"> - Life insurance  *</t>
  </si>
  <si>
    <t>Balance as at 1 January 2006</t>
  </si>
  <si>
    <t>Balance as at 1 January 2005</t>
  </si>
  <si>
    <t>The Condensed Consolidated Cashflow Statement should be read in conjunction with the Annual Financial Reports for the year ended 31 December 2005</t>
  </si>
  <si>
    <t>ASSETS REVALUATION RESERVE</t>
  </si>
  <si>
    <t>- as previously stated</t>
  </si>
  <si>
    <t>- adjustments due to changes in accouting policies</t>
  </si>
  <si>
    <t>Currency translation differences arising during the financial period</t>
  </si>
  <si>
    <t>SURPLUS / (DEFICIT) TRANSFERRED FROM  INSURANCE REVENUE ACCOUNTS</t>
  </si>
  <si>
    <t>Surplus / (deficit) transferred to Condensed Consolidated Income Statement</t>
  </si>
  <si>
    <t>Life policyholders' fund at end of the financial period</t>
  </si>
  <si>
    <t>Net surplus before changes in policy reserve for the financial period</t>
  </si>
  <si>
    <t>Cash and cash equivalents at end of financial period</t>
  </si>
  <si>
    <t>Attributable to equity holders of the Company</t>
  </si>
  <si>
    <t>reserves</t>
  </si>
  <si>
    <t>Net changes in available-for-sale financial assets</t>
  </si>
  <si>
    <t xml:space="preserve">  - term loans </t>
  </si>
  <si>
    <t xml:space="preserve">  - at fair value through profit or loss</t>
  </si>
  <si>
    <t xml:space="preserve">  - available-for-sale</t>
  </si>
  <si>
    <t xml:space="preserve">  Loans and receivables, excluding insurance receivables</t>
  </si>
  <si>
    <t xml:space="preserve">  Trade and other payables, excluding insurance payables</t>
  </si>
  <si>
    <t>Trade and other payables, excluding insurance payables</t>
  </si>
  <si>
    <t>The Condensed Consolidated Income Statement should be read in conjunction with the Annual Financial  Reports for the year ended 31 December 2005.</t>
  </si>
  <si>
    <t>Underwriting profit / (loss)</t>
  </si>
  <si>
    <t>Increase arising from additional investments in subsidiary companies during the financial period</t>
  </si>
  <si>
    <t>Capital and reserve attributable to the Company's equity holders</t>
  </si>
  <si>
    <t>Life policyholders' fund at beginning of financial year / period</t>
  </si>
  <si>
    <t>Interim report on consolidated results for the third quarter ended 30 September 2006. These figures have not been audited.</t>
  </si>
  <si>
    <t>30.09.2006</t>
  </si>
  <si>
    <t>Interim report on consolidated results for the third quarter ended 30 September 2006.  These figures have not been audited.</t>
  </si>
  <si>
    <t>30.09.2005</t>
  </si>
  <si>
    <t>9 months ended</t>
  </si>
  <si>
    <t>9 months ended 30.09.2006</t>
  </si>
  <si>
    <t>Balance as at 30 September 2006</t>
  </si>
  <si>
    <t>9 months ended 30.09.2005</t>
  </si>
  <si>
    <t>Balance as at 30 September 2005</t>
  </si>
  <si>
    <t>Net cash outflows from financing activities</t>
  </si>
  <si>
    <t>Net assets per share attributable to ordinary equity holders of the Company (RM)</t>
  </si>
  <si>
    <t>Share of profit / (loss) of associated companies</t>
  </si>
  <si>
    <t>Cash generated from operations</t>
  </si>
  <si>
    <t>Net cash inflows from operating activities</t>
  </si>
  <si>
    <t>Net decrease in cash and cash equivalents</t>
  </si>
  <si>
    <t>Dividends for the financial year ended 31 December 2004</t>
  </si>
  <si>
    <t>Dividends for the financial year ended 31 December 2005</t>
  </si>
  <si>
    <t>PROFIT BEFORE TAXATION</t>
  </si>
  <si>
    <t>Profit from operations</t>
  </si>
  <si>
    <t>NET PROFIT FOR THE FINANCIAL PERIOD</t>
  </si>
  <si>
    <t>EARNINGS PER SHARE FOR THE PROFIT ATTRIBUTABLE TO THE EQUITY HOLDERS OF THE COMPANY (sen)</t>
  </si>
  <si>
    <t>Other operating expenses - net</t>
  </si>
  <si>
    <t>Other operating income  - net</t>
  </si>
  <si>
    <t>Surplus / (deficit) before taxation</t>
  </si>
  <si>
    <t>Net profit for the 9 months period</t>
  </si>
  <si>
    <t>Surplus / (deficit) for the financial period after taxation</t>
  </si>
  <si>
    <t xml:space="preserve">Issue of bonus shares during the financial period </t>
  </si>
  <si>
    <t xml:space="preserve"> - basic (adjusted for bonus issue)</t>
  </si>
  <si>
    <t>Decrease / (increase)  in unearned  premium reserve</t>
  </si>
  <si>
    <t>Share of loss from non-current assets held for sale</t>
  </si>
  <si>
    <t>Non-current assets held for sale</t>
  </si>
  <si>
    <t>Discontinued operations: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</si>
</sst>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_);_(* \(#,##0.0\);_(* &quot;-&quot;??_);_(@_)"/>
    <numFmt numFmtId="172" formatCode="0.0%"/>
  </numFmts>
  <fonts count="9">
    <font>
      <sz val="10"/>
      <name val="Arial"/>
      <family val="0"/>
    </font>
    <font>
      <b/>
      <sz val="10"/>
      <name val="Arial"/>
      <family val="2"/>
    </font>
    <font>
      <b/>
      <u val="single"/>
      <sz val="10"/>
      <name val="Arial"/>
      <family val="2"/>
    </font>
    <font>
      <sz val="8"/>
      <name val="Arial"/>
      <family val="2"/>
    </font>
    <font>
      <sz val="10"/>
      <color indexed="12"/>
      <name val="Arial"/>
      <family val="2"/>
    </font>
    <font>
      <b/>
      <sz val="10"/>
      <color indexed="12"/>
      <name val="Arial"/>
      <family val="2"/>
    </font>
    <font>
      <sz val="10"/>
      <color indexed="10"/>
      <name val="Arial"/>
      <family val="2"/>
    </font>
    <font>
      <b/>
      <sz val="8"/>
      <color indexed="10"/>
      <name val="Arial"/>
      <family val="2"/>
    </font>
    <font>
      <b/>
      <sz val="8"/>
      <name val="Arial"/>
      <family val="2"/>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170" fontId="0" fillId="2" borderId="1" xfId="15" applyNumberFormat="1" applyFont="1" applyFill="1" applyBorder="1" applyAlignment="1">
      <alignment/>
    </xf>
    <xf numFmtId="170" fontId="1" fillId="2" borderId="0" xfId="15" applyNumberFormat="1" applyFont="1" applyFill="1" applyBorder="1" applyAlignment="1">
      <alignment horizontal="center"/>
    </xf>
    <xf numFmtId="170" fontId="0" fillId="2" borderId="2" xfId="15" applyNumberFormat="1" applyFont="1" applyFill="1" applyBorder="1" applyAlignment="1">
      <alignment/>
    </xf>
    <xf numFmtId="170" fontId="3" fillId="2" borderId="0" xfId="15" applyNumberFormat="1" applyFont="1" applyFill="1" applyBorder="1" applyAlignment="1">
      <alignment/>
    </xf>
    <xf numFmtId="0" fontId="1" fillId="2" borderId="0" xfId="0" applyFont="1" applyFill="1" applyAlignment="1">
      <alignment/>
    </xf>
    <xf numFmtId="0" fontId="1" fillId="2" borderId="0" xfId="0" applyFont="1" applyFill="1" applyBorder="1" applyAlignment="1">
      <alignment/>
    </xf>
    <xf numFmtId="0" fontId="1" fillId="2" borderId="0" xfId="0" applyFont="1" applyFill="1" applyAlignment="1">
      <alignment horizontal="center"/>
    </xf>
    <xf numFmtId="0" fontId="0" fillId="2" borderId="0" xfId="0" applyFont="1" applyFill="1" applyAlignment="1">
      <alignment horizontal="justify" wrapText="1"/>
    </xf>
    <xf numFmtId="0" fontId="0" fillId="2" borderId="0" xfId="0" applyFont="1" applyFill="1" applyAlignment="1">
      <alignment horizontal="left"/>
    </xf>
    <xf numFmtId="0" fontId="0" fillId="2" borderId="0" xfId="0" applyFont="1" applyFill="1" applyBorder="1" applyAlignment="1">
      <alignment horizontal="left"/>
    </xf>
    <xf numFmtId="0" fontId="1" fillId="2" borderId="0" xfId="0" applyFont="1" applyFill="1" applyAlignment="1">
      <alignment horizontal="right"/>
    </xf>
    <xf numFmtId="0" fontId="1" fillId="2" borderId="0" xfId="0" applyFont="1" applyFill="1" applyBorder="1" applyAlignment="1">
      <alignment horizontal="right"/>
    </xf>
    <xf numFmtId="0" fontId="0" fillId="2" borderId="0" xfId="0" applyFont="1" applyFill="1" applyBorder="1" applyAlignment="1">
      <alignment horizontal="right"/>
    </xf>
    <xf numFmtId="0" fontId="1" fillId="2" borderId="3" xfId="0" applyFont="1" applyFill="1" applyBorder="1" applyAlignment="1">
      <alignment horizontal="right"/>
    </xf>
    <xf numFmtId="0" fontId="1" fillId="2" borderId="0" xfId="0" applyFont="1" applyFill="1" applyBorder="1" applyAlignment="1">
      <alignment horizontal="center"/>
    </xf>
    <xf numFmtId="170" fontId="0" fillId="2" borderId="0" xfId="15" applyNumberFormat="1" applyFont="1" applyFill="1" applyBorder="1" applyAlignment="1">
      <alignment horizontal="center"/>
    </xf>
    <xf numFmtId="0" fontId="0" fillId="2" borderId="0" xfId="0" applyFont="1" applyFill="1" applyAlignment="1">
      <alignment/>
    </xf>
    <xf numFmtId="0" fontId="0" fillId="2" borderId="0" xfId="0" applyFont="1" applyFill="1" applyAlignment="1">
      <alignment wrapText="1"/>
    </xf>
    <xf numFmtId="170" fontId="0" fillId="2" borderId="0" xfId="15" applyNumberFormat="1" applyFont="1" applyFill="1" applyAlignment="1">
      <alignment/>
    </xf>
    <xf numFmtId="170" fontId="0" fillId="2" borderId="0" xfId="15" applyNumberFormat="1" applyFont="1" applyFill="1" applyBorder="1" applyAlignment="1">
      <alignment/>
    </xf>
    <xf numFmtId="170" fontId="0" fillId="2" borderId="4" xfId="15" applyNumberFormat="1" applyFont="1" applyFill="1" applyBorder="1" applyAlignment="1">
      <alignment/>
    </xf>
    <xf numFmtId="43" fontId="0" fillId="2" borderId="0" xfId="15" applyFont="1" applyFill="1" applyAlignment="1">
      <alignment/>
    </xf>
    <xf numFmtId="43" fontId="0" fillId="2" borderId="5" xfId="15" applyFont="1" applyFill="1" applyBorder="1" applyAlignment="1">
      <alignment/>
    </xf>
    <xf numFmtId="43" fontId="0" fillId="2" borderId="0" xfId="15" applyFont="1" applyFill="1" applyBorder="1" applyAlignment="1">
      <alignment/>
    </xf>
    <xf numFmtId="0" fontId="1" fillId="2" borderId="0" xfId="0" applyFont="1" applyFill="1" applyBorder="1" applyAlignment="1">
      <alignment wrapText="1"/>
    </xf>
    <xf numFmtId="0" fontId="0" fillId="2" borderId="0" xfId="0" applyFont="1" applyFill="1" applyAlignment="1">
      <alignment/>
    </xf>
    <xf numFmtId="43" fontId="0" fillId="2" borderId="0" xfId="15" applyNumberFormat="1" applyFont="1" applyFill="1" applyBorder="1" applyAlignment="1">
      <alignment horizontal="center"/>
    </xf>
    <xf numFmtId="0" fontId="0" fillId="2" borderId="0" xfId="0" applyFont="1" applyFill="1" applyBorder="1" applyAlignment="1">
      <alignment/>
    </xf>
    <xf numFmtId="43" fontId="0" fillId="2" borderId="0" xfId="15" applyFont="1" applyFill="1" applyBorder="1" applyAlignment="1">
      <alignment horizontal="center"/>
    </xf>
    <xf numFmtId="0" fontId="0" fillId="2" borderId="0" xfId="0" applyFont="1" applyFill="1" applyBorder="1" applyAlignment="1">
      <alignment horizontal="center"/>
    </xf>
    <xf numFmtId="0" fontId="0" fillId="2" borderId="0" xfId="0" applyFont="1" applyFill="1" applyAlignment="1">
      <alignment horizontal="center"/>
    </xf>
    <xf numFmtId="43" fontId="0" fillId="2" borderId="0" xfId="15" applyFont="1" applyFill="1" applyAlignment="1">
      <alignment horizontal="center"/>
    </xf>
    <xf numFmtId="0" fontId="2" fillId="2" borderId="0" xfId="0" applyFont="1" applyFill="1" applyAlignment="1">
      <alignment/>
    </xf>
    <xf numFmtId="0" fontId="0" fillId="2" borderId="0" xfId="0" applyFont="1" applyFill="1" applyAlignment="1">
      <alignment horizontal="right"/>
    </xf>
    <xf numFmtId="170" fontId="0" fillId="2" borderId="5" xfId="15" applyNumberFormat="1" applyFont="1" applyFill="1" applyBorder="1" applyAlignment="1">
      <alignment/>
    </xf>
    <xf numFmtId="170" fontId="0" fillId="2" borderId="5" xfId="15" applyNumberFormat="1" applyFont="1" applyFill="1" applyBorder="1" applyAlignment="1">
      <alignment horizontal="center"/>
    </xf>
    <xf numFmtId="170" fontId="0" fillId="2" borderId="0" xfId="15" applyNumberFormat="1" applyFont="1" applyFill="1" applyAlignment="1">
      <alignment horizontal="center"/>
    </xf>
    <xf numFmtId="0" fontId="0" fillId="2" borderId="0" xfId="0" applyFont="1" applyFill="1" applyAlignment="1" quotePrefix="1">
      <alignment/>
    </xf>
    <xf numFmtId="0" fontId="0" fillId="2" borderId="0" xfId="0" applyFont="1" applyFill="1" applyAlignment="1">
      <alignment horizontal="left" wrapText="1"/>
    </xf>
    <xf numFmtId="170" fontId="0" fillId="2" borderId="4" xfId="15" applyNumberFormat="1" applyFont="1" applyFill="1" applyBorder="1" applyAlignment="1">
      <alignment horizontal="center"/>
    </xf>
    <xf numFmtId="170" fontId="0" fillId="2" borderId="6" xfId="15" applyNumberFormat="1" applyFont="1" applyFill="1" applyBorder="1" applyAlignment="1">
      <alignment horizontal="center"/>
    </xf>
    <xf numFmtId="9" fontId="0" fillId="2" borderId="6" xfId="19" applyFont="1" applyFill="1" applyBorder="1" applyAlignment="1">
      <alignment/>
    </xf>
    <xf numFmtId="0" fontId="1" fillId="2" borderId="0" xfId="0" applyFont="1" applyFill="1" applyAlignment="1">
      <alignment wrapText="1"/>
    </xf>
    <xf numFmtId="170" fontId="1" fillId="2" borderId="0" xfId="15" applyNumberFormat="1" applyFont="1" applyFill="1" applyAlignment="1">
      <alignment/>
    </xf>
    <xf numFmtId="0" fontId="0" fillId="2" borderId="0" xfId="0" applyFont="1" applyFill="1" applyAlignment="1" quotePrefix="1">
      <alignment horizontal="left"/>
    </xf>
    <xf numFmtId="9" fontId="0" fillId="2" borderId="0" xfId="19" applyFont="1" applyFill="1" applyAlignment="1">
      <alignment/>
    </xf>
    <xf numFmtId="0" fontId="0" fillId="2" borderId="0" xfId="0" applyFont="1" applyFill="1" applyAlignment="1">
      <alignment horizontal="justify"/>
    </xf>
    <xf numFmtId="172" fontId="0" fillId="2" borderId="0" xfId="19" applyNumberFormat="1" applyFont="1" applyFill="1" applyAlignment="1">
      <alignment/>
    </xf>
    <xf numFmtId="0" fontId="0" fillId="2" borderId="0" xfId="0" applyFont="1" applyFill="1" applyAlignment="1" quotePrefix="1">
      <alignment horizontal="left" wrapText="1"/>
    </xf>
    <xf numFmtId="170" fontId="0" fillId="2" borderId="0" xfId="0" applyNumberFormat="1" applyFont="1" applyFill="1" applyBorder="1" applyAlignment="1">
      <alignment/>
    </xf>
    <xf numFmtId="170" fontId="0" fillId="2" borderId="0" xfId="15" applyNumberFormat="1" applyFont="1" applyFill="1" applyAlignment="1">
      <alignment horizontal="justify"/>
    </xf>
    <xf numFmtId="0" fontId="0" fillId="2" borderId="4" xfId="0" applyFont="1" applyFill="1" applyBorder="1" applyAlignment="1">
      <alignment horizontal="right"/>
    </xf>
    <xf numFmtId="0" fontId="0" fillId="2" borderId="4" xfId="0" applyFont="1" applyFill="1" applyBorder="1" applyAlignment="1">
      <alignment/>
    </xf>
    <xf numFmtId="0" fontId="1" fillId="2" borderId="4" xfId="0" applyFont="1" applyFill="1" applyBorder="1" applyAlignment="1">
      <alignment horizontal="right"/>
    </xf>
    <xf numFmtId="0" fontId="2" fillId="2" borderId="0" xfId="0" applyFont="1" applyFill="1" applyAlignment="1">
      <alignment horizontal="left"/>
    </xf>
    <xf numFmtId="170" fontId="0" fillId="2" borderId="0" xfId="0" applyNumberFormat="1" applyFont="1" applyFill="1" applyAlignment="1">
      <alignment/>
    </xf>
    <xf numFmtId="0" fontId="0" fillId="2" borderId="0" xfId="0" applyFont="1" applyFill="1" applyAlignment="1" quotePrefix="1">
      <alignment wrapText="1"/>
    </xf>
    <xf numFmtId="170" fontId="4" fillId="2" borderId="0" xfId="15" applyNumberFormat="1" applyFont="1" applyFill="1" applyAlignment="1">
      <alignment/>
    </xf>
    <xf numFmtId="37" fontId="1" fillId="2" borderId="0" xfId="15" applyNumberFormat="1" applyFont="1" applyFill="1" applyAlignment="1">
      <alignment/>
    </xf>
    <xf numFmtId="0" fontId="1" fillId="2" borderId="0" xfId="0" applyFont="1" applyFill="1" applyAlignment="1">
      <alignment horizontal="justify"/>
    </xf>
    <xf numFmtId="0" fontId="0" fillId="2" borderId="0" xfId="0" applyFont="1" applyFill="1" applyBorder="1" applyAlignment="1">
      <alignment horizontal="justify"/>
    </xf>
    <xf numFmtId="37" fontId="0" fillId="2" borderId="0" xfId="15" applyNumberFormat="1" applyFont="1" applyFill="1" applyAlignment="1">
      <alignment horizontal="justify" wrapText="1"/>
    </xf>
    <xf numFmtId="37" fontId="1" fillId="2" borderId="0" xfId="15" applyNumberFormat="1" applyFont="1" applyFill="1" applyAlignment="1">
      <alignment horizontal="right"/>
    </xf>
    <xf numFmtId="37" fontId="0" fillId="2" borderId="0" xfId="15" applyNumberFormat="1" applyFont="1" applyFill="1" applyAlignment="1">
      <alignment/>
    </xf>
    <xf numFmtId="37" fontId="0" fillId="2" borderId="0" xfId="0" applyNumberFormat="1" applyFont="1" applyFill="1" applyAlignment="1">
      <alignment/>
    </xf>
    <xf numFmtId="170" fontId="4" fillId="2" borderId="0" xfId="15" applyNumberFormat="1" applyFont="1" applyFill="1" applyBorder="1" applyAlignment="1">
      <alignment/>
    </xf>
    <xf numFmtId="0" fontId="5" fillId="2" borderId="0" xfId="0" applyFont="1" applyFill="1" applyAlignment="1">
      <alignment/>
    </xf>
    <xf numFmtId="0" fontId="4" fillId="2" borderId="0" xfId="0" applyFont="1" applyFill="1" applyAlignment="1">
      <alignment horizontal="left"/>
    </xf>
    <xf numFmtId="0" fontId="4" fillId="2" borderId="0" xfId="0" applyFont="1" applyFill="1" applyAlignment="1">
      <alignment/>
    </xf>
    <xf numFmtId="0" fontId="4" fillId="2" borderId="0" xfId="0" applyFont="1" applyFill="1" applyBorder="1" applyAlignment="1">
      <alignment/>
    </xf>
    <xf numFmtId="0" fontId="4" fillId="2" borderId="0" xfId="0" applyFont="1" applyFill="1" applyAlignment="1">
      <alignment horizontal="justify"/>
    </xf>
    <xf numFmtId="43" fontId="0" fillId="2" borderId="0" xfId="15" applyFont="1" applyFill="1" applyAlignment="1">
      <alignment wrapText="1"/>
    </xf>
    <xf numFmtId="170" fontId="6" fillId="2" borderId="0" xfId="15" applyNumberFormat="1" applyFont="1" applyFill="1" applyBorder="1" applyAlignment="1">
      <alignment/>
    </xf>
    <xf numFmtId="0" fontId="0" fillId="2" borderId="3" xfId="0" applyFont="1" applyFill="1" applyBorder="1" applyAlignment="1">
      <alignment horizontal="right"/>
    </xf>
    <xf numFmtId="170" fontId="0" fillId="2" borderId="6" xfId="19" applyNumberFormat="1" applyFont="1" applyFill="1" applyBorder="1" applyAlignment="1">
      <alignment/>
    </xf>
    <xf numFmtId="0" fontId="0" fillId="0" borderId="0" xfId="0" applyFont="1" applyAlignment="1">
      <alignment wrapText="1"/>
    </xf>
    <xf numFmtId="170" fontId="7" fillId="2" borderId="0" xfId="15" applyNumberFormat="1" applyFont="1" applyFill="1" applyBorder="1" applyAlignment="1">
      <alignment/>
    </xf>
    <xf numFmtId="170" fontId="8" fillId="2" borderId="0" xfId="15" applyNumberFormat="1" applyFont="1" applyFill="1" applyAlignment="1">
      <alignment/>
    </xf>
    <xf numFmtId="170" fontId="0" fillId="0" borderId="4" xfId="15" applyNumberFormat="1" applyFont="1" applyFill="1" applyBorder="1" applyAlignment="1">
      <alignment/>
    </xf>
    <xf numFmtId="43" fontId="0" fillId="0" borderId="5" xfId="15" applyFont="1" applyFill="1" applyBorder="1" applyAlignment="1">
      <alignment/>
    </xf>
    <xf numFmtId="0" fontId="1" fillId="2" borderId="0" xfId="0" applyFont="1" applyFill="1" applyBorder="1" applyAlignment="1">
      <alignment horizontal="justify" wrapText="1"/>
    </xf>
    <xf numFmtId="0" fontId="0" fillId="2" borderId="0" xfId="0" applyFont="1" applyFill="1" applyBorder="1" applyAlignment="1">
      <alignment horizontal="justify" wrapText="1"/>
    </xf>
    <xf numFmtId="0" fontId="1" fillId="2" borderId="0" xfId="0" applyFont="1" applyFill="1" applyBorder="1" applyAlignment="1">
      <alignment wrapText="1"/>
    </xf>
    <xf numFmtId="0" fontId="0" fillId="2" borderId="0" xfId="0" applyFont="1" applyFill="1" applyAlignment="1">
      <alignment wrapText="1"/>
    </xf>
    <xf numFmtId="0" fontId="1" fillId="2" borderId="0" xfId="0" applyFont="1" applyFill="1" applyAlignment="1">
      <alignment horizontal="justify" wrapText="1"/>
    </xf>
    <xf numFmtId="0" fontId="1" fillId="2" borderId="0" xfId="0" applyFont="1" applyFill="1" applyAlignment="1">
      <alignment horizontal="center"/>
    </xf>
    <xf numFmtId="0" fontId="0" fillId="2" borderId="0" xfId="0" applyFont="1" applyFill="1" applyAlignment="1">
      <alignment horizontal="left" wrapText="1"/>
    </xf>
    <xf numFmtId="0" fontId="1" fillId="2" borderId="0" xfId="0" applyFont="1" applyFill="1" applyAlignment="1">
      <alignment wrapText="1"/>
    </xf>
    <xf numFmtId="0" fontId="0" fillId="2" borderId="0" xfId="0"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G156"/>
  <sheetViews>
    <sheetView zoomScale="80" zoomScaleNormal="80" zoomScaleSheetLayoutView="80" workbookViewId="0" topLeftCell="A24">
      <selection activeCell="E43" sqref="E43"/>
    </sheetView>
  </sheetViews>
  <sheetFormatPr defaultColWidth="9.140625" defaultRowHeight="12.75"/>
  <cols>
    <col min="1" max="1" width="7.7109375" style="17" customWidth="1"/>
    <col min="2" max="2" width="55.7109375" style="17" customWidth="1"/>
    <col min="3" max="3" width="17.7109375" style="69" customWidth="1"/>
    <col min="4" max="4" width="1.7109375" style="28" customWidth="1"/>
    <col min="5" max="5" width="17.7109375" style="31" customWidth="1"/>
    <col min="6" max="6" width="7.7109375" style="31" customWidth="1"/>
    <col min="7" max="68" width="22.00390625" style="17" customWidth="1"/>
    <col min="69" max="16384" width="2.57421875" style="17" customWidth="1"/>
  </cols>
  <sheetData>
    <row r="2" spans="2:6" s="5" customFormat="1" ht="12.75">
      <c r="B2" s="5" t="s">
        <v>0</v>
      </c>
      <c r="C2" s="67"/>
      <c r="D2" s="6"/>
      <c r="E2" s="7"/>
      <c r="F2" s="7"/>
    </row>
    <row r="3" spans="3:6" s="5" customFormat="1" ht="12.75">
      <c r="C3" s="67"/>
      <c r="D3" s="6"/>
      <c r="E3" s="7"/>
      <c r="F3" s="7"/>
    </row>
    <row r="4" spans="2:6" s="5" customFormat="1" ht="12.75" customHeight="1">
      <c r="B4" s="81" t="s">
        <v>138</v>
      </c>
      <c r="C4" s="82"/>
      <c r="D4" s="82"/>
      <c r="E4" s="82"/>
      <c r="F4" s="8"/>
    </row>
    <row r="5" spans="2:6" s="5" customFormat="1" ht="12.75">
      <c r="B5" s="82"/>
      <c r="C5" s="82"/>
      <c r="D5" s="82"/>
      <c r="E5" s="82"/>
      <c r="F5" s="8"/>
    </row>
    <row r="6" spans="2:6" s="5" customFormat="1" ht="12.75">
      <c r="B6" s="9"/>
      <c r="C6" s="68"/>
      <c r="D6" s="10"/>
      <c r="E6" s="9"/>
      <c r="F6" s="9"/>
    </row>
    <row r="7" spans="2:6" s="5" customFormat="1" ht="12.75">
      <c r="B7" s="5" t="s">
        <v>22</v>
      </c>
      <c r="C7" s="67"/>
      <c r="D7" s="6"/>
      <c r="E7" s="7"/>
      <c r="F7" s="7"/>
    </row>
    <row r="8" spans="3:6" s="5" customFormat="1" ht="12.75">
      <c r="C8" s="11" t="s">
        <v>2</v>
      </c>
      <c r="D8" s="12"/>
      <c r="E8" s="11" t="s">
        <v>2</v>
      </c>
      <c r="F8" s="11"/>
    </row>
    <row r="9" spans="3:6" s="7" customFormat="1" ht="12.75">
      <c r="C9" s="11" t="s">
        <v>3</v>
      </c>
      <c r="D9" s="12"/>
      <c r="E9" s="11" t="s">
        <v>5</v>
      </c>
      <c r="F9" s="11"/>
    </row>
    <row r="10" spans="3:6" s="7" customFormat="1" ht="12.75">
      <c r="C10" s="11" t="s">
        <v>4</v>
      </c>
      <c r="D10" s="12"/>
      <c r="E10" s="11" t="s">
        <v>23</v>
      </c>
      <c r="F10" s="11"/>
    </row>
    <row r="11" spans="3:6" s="7" customFormat="1" ht="12.75">
      <c r="C11" s="11" t="s">
        <v>6</v>
      </c>
      <c r="D11" s="12"/>
      <c r="E11" s="11" t="s">
        <v>24</v>
      </c>
      <c r="F11" s="11"/>
    </row>
    <row r="12" spans="3:6" s="7" customFormat="1" ht="12.75">
      <c r="C12" s="11" t="s">
        <v>139</v>
      </c>
      <c r="D12" s="12"/>
      <c r="E12" s="11" t="s">
        <v>80</v>
      </c>
      <c r="F12" s="11"/>
    </row>
    <row r="13" spans="3:6" s="7" customFormat="1" ht="13.5" thickBot="1">
      <c r="C13" s="74"/>
      <c r="D13" s="13"/>
      <c r="E13" s="14" t="s">
        <v>7</v>
      </c>
      <c r="F13" s="11"/>
    </row>
    <row r="14" spans="3:6" s="7" customFormat="1" ht="12.75">
      <c r="C14" s="13" t="s">
        <v>8</v>
      </c>
      <c r="D14" s="13"/>
      <c r="E14" s="13" t="s">
        <v>8</v>
      </c>
      <c r="F14" s="11"/>
    </row>
    <row r="15" spans="2:6" ht="12.75">
      <c r="B15" s="5" t="s">
        <v>9</v>
      </c>
      <c r="C15" s="7"/>
      <c r="D15" s="15"/>
      <c r="E15" s="7"/>
      <c r="F15" s="16"/>
    </row>
    <row r="16" spans="2:6" ht="12.75">
      <c r="B16" s="5"/>
      <c r="C16" s="7"/>
      <c r="D16" s="15"/>
      <c r="E16" s="7"/>
      <c r="F16" s="16"/>
    </row>
    <row r="17" spans="2:6" ht="21" customHeight="1">
      <c r="B17" s="18" t="s">
        <v>51</v>
      </c>
      <c r="C17" s="7"/>
      <c r="D17" s="15"/>
      <c r="E17" s="7"/>
      <c r="F17" s="16"/>
    </row>
    <row r="18" spans="3:6" ht="12.75">
      <c r="C18" s="7"/>
      <c r="D18" s="15"/>
      <c r="E18" s="7"/>
      <c r="F18" s="16"/>
    </row>
    <row r="19" spans="2:7" ht="12.75">
      <c r="B19" s="17" t="s">
        <v>10</v>
      </c>
      <c r="C19" s="19">
        <v>26958</v>
      </c>
      <c r="D19" s="20"/>
      <c r="E19" s="19">
        <v>22785</v>
      </c>
      <c r="F19" s="16"/>
      <c r="G19" s="19"/>
    </row>
    <row r="20" spans="2:7" ht="12.75">
      <c r="B20" s="17" t="s">
        <v>69</v>
      </c>
      <c r="C20" s="19">
        <v>5929</v>
      </c>
      <c r="D20" s="20"/>
      <c r="E20" s="19">
        <v>6189</v>
      </c>
      <c r="F20" s="16"/>
      <c r="G20" s="19"/>
    </row>
    <row r="21" spans="2:7" ht="12.75">
      <c r="B21" s="17" t="s">
        <v>85</v>
      </c>
      <c r="C21" s="19">
        <v>126579</v>
      </c>
      <c r="D21" s="20"/>
      <c r="E21" s="19">
        <v>130183</v>
      </c>
      <c r="F21" s="16"/>
      <c r="G21" s="19"/>
    </row>
    <row r="22" spans="2:7" ht="12.75">
      <c r="B22" s="17" t="s">
        <v>86</v>
      </c>
      <c r="C22" s="58"/>
      <c r="D22" s="20"/>
      <c r="E22" s="19"/>
      <c r="F22" s="16"/>
      <c r="G22" s="19"/>
    </row>
    <row r="23" spans="2:7" ht="12.75">
      <c r="B23" s="17" t="s">
        <v>87</v>
      </c>
      <c r="C23" s="58"/>
      <c r="D23" s="20"/>
      <c r="E23" s="19"/>
      <c r="F23" s="16"/>
      <c r="G23" s="19"/>
    </row>
    <row r="24" spans="2:7" ht="12.75">
      <c r="B24" s="17" t="s">
        <v>128</v>
      </c>
      <c r="C24" s="19">
        <v>153732</v>
      </c>
      <c r="D24" s="20"/>
      <c r="E24" s="19">
        <v>174609</v>
      </c>
      <c r="F24" s="16"/>
      <c r="G24" s="19"/>
    </row>
    <row r="25" spans="2:7" ht="12.75">
      <c r="B25" s="17" t="s">
        <v>129</v>
      </c>
      <c r="C25" s="19">
        <v>135227</v>
      </c>
      <c r="D25" s="20"/>
      <c r="E25" s="19">
        <v>133120</v>
      </c>
      <c r="F25" s="16"/>
      <c r="G25" s="19"/>
    </row>
    <row r="26" spans="2:7" ht="12.75">
      <c r="B26" s="17" t="s">
        <v>88</v>
      </c>
      <c r="C26" s="19">
        <v>15783</v>
      </c>
      <c r="D26" s="20"/>
      <c r="E26" s="19">
        <v>10714</v>
      </c>
      <c r="F26" s="16"/>
      <c r="G26" s="19"/>
    </row>
    <row r="27" spans="2:7" ht="12.75">
      <c r="B27" s="17" t="s">
        <v>130</v>
      </c>
      <c r="C27" s="19">
        <v>356296</v>
      </c>
      <c r="D27" s="20"/>
      <c r="E27" s="19">
        <v>355013</v>
      </c>
      <c r="F27" s="16"/>
      <c r="G27" s="19"/>
    </row>
    <row r="28" spans="2:6" ht="12.75">
      <c r="B28" s="17" t="s">
        <v>89</v>
      </c>
      <c r="C28" s="19">
        <v>73456</v>
      </c>
      <c r="D28" s="20"/>
      <c r="E28" s="19">
        <v>81313</v>
      </c>
      <c r="F28" s="16"/>
    </row>
    <row r="29" spans="2:6" ht="12.75">
      <c r="B29" s="17" t="s">
        <v>25</v>
      </c>
      <c r="C29" s="19">
        <f>13900-799</f>
        <v>13101</v>
      </c>
      <c r="D29" s="20"/>
      <c r="E29" s="19">
        <f>14029-E36</f>
        <v>11206</v>
      </c>
      <c r="F29" s="16"/>
    </row>
    <row r="30" spans="2:7" ht="12.75">
      <c r="B30" s="17" t="s">
        <v>26</v>
      </c>
      <c r="C30" s="19">
        <v>26606</v>
      </c>
      <c r="D30" s="20"/>
      <c r="E30" s="19">
        <v>18784</v>
      </c>
      <c r="F30" s="16"/>
      <c r="G30" s="19"/>
    </row>
    <row r="31" spans="2:7" ht="12.75">
      <c r="B31" s="17" t="s">
        <v>70</v>
      </c>
      <c r="C31" s="19">
        <v>6112</v>
      </c>
      <c r="D31" s="20"/>
      <c r="E31" s="19">
        <v>9597</v>
      </c>
      <c r="F31" s="16"/>
      <c r="G31" s="19"/>
    </row>
    <row r="32" spans="2:7" ht="12.75">
      <c r="B32" s="17" t="s">
        <v>77</v>
      </c>
      <c r="C32" s="19">
        <v>170401</v>
      </c>
      <c r="D32" s="20"/>
      <c r="E32" s="19">
        <v>140007</v>
      </c>
      <c r="F32" s="16"/>
      <c r="G32" s="19"/>
    </row>
    <row r="33" spans="2:7" ht="12.75">
      <c r="B33" s="17" t="s">
        <v>11</v>
      </c>
      <c r="C33" s="21">
        <v>17736</v>
      </c>
      <c r="D33" s="20"/>
      <c r="E33" s="21">
        <v>28935</v>
      </c>
      <c r="F33" s="16"/>
      <c r="G33" s="19"/>
    </row>
    <row r="34" spans="3:7" ht="12.75">
      <c r="C34" s="20">
        <f>SUM(C19:C33)</f>
        <v>1127916</v>
      </c>
      <c r="D34" s="20"/>
      <c r="E34" s="20">
        <f>SUM(E19:E33)</f>
        <v>1122455</v>
      </c>
      <c r="F34" s="16"/>
      <c r="G34" s="19"/>
    </row>
    <row r="35" spans="3:7" ht="12.75">
      <c r="C35" s="20"/>
      <c r="D35" s="20"/>
      <c r="E35" s="20"/>
      <c r="F35" s="16"/>
      <c r="G35" s="19"/>
    </row>
    <row r="36" spans="2:6" ht="12.75">
      <c r="B36" s="17" t="s">
        <v>168</v>
      </c>
      <c r="C36" s="21">
        <f>799-794</f>
        <v>5</v>
      </c>
      <c r="D36" s="20"/>
      <c r="E36" s="21">
        <v>2823</v>
      </c>
      <c r="F36" s="16"/>
    </row>
    <row r="37" spans="2:6" ht="21" customHeight="1">
      <c r="B37" s="18" t="s">
        <v>52</v>
      </c>
      <c r="C37" s="19">
        <f>+C34+C36</f>
        <v>1127921</v>
      </c>
      <c r="D37" s="20"/>
      <c r="E37" s="19">
        <f>+E34+E36</f>
        <v>1125278</v>
      </c>
      <c r="F37" s="16"/>
    </row>
    <row r="38" spans="3:6" ht="12.75">
      <c r="C38" s="20"/>
      <c r="D38" s="20"/>
      <c r="E38" s="20"/>
      <c r="F38" s="16"/>
    </row>
    <row r="39" spans="2:6" ht="12.75">
      <c r="B39" s="17" t="s">
        <v>85</v>
      </c>
      <c r="C39" s="20">
        <f>'Life fund Balance Sheet'!C20</f>
        <v>1039803</v>
      </c>
      <c r="D39" s="20"/>
      <c r="E39" s="20">
        <f>'Life fund Balance Sheet'!E20</f>
        <v>961493</v>
      </c>
      <c r="F39" s="16"/>
    </row>
    <row r="40" spans="2:6" ht="12.75">
      <c r="B40" s="17" t="s">
        <v>86</v>
      </c>
      <c r="C40" s="17"/>
      <c r="D40" s="17"/>
      <c r="E40" s="17"/>
      <c r="F40" s="16"/>
    </row>
    <row r="41" spans="2:6" ht="12.75">
      <c r="B41" s="17" t="s">
        <v>87</v>
      </c>
      <c r="C41" s="20"/>
      <c r="D41" s="20"/>
      <c r="E41" s="20"/>
      <c r="F41" s="16"/>
    </row>
    <row r="42" spans="2:6" ht="12.75">
      <c r="B42" s="17" t="s">
        <v>128</v>
      </c>
      <c r="C42" s="20">
        <f>'Life fund Balance Sheet'!C23</f>
        <v>582245</v>
      </c>
      <c r="D42" s="20"/>
      <c r="E42" s="20">
        <f>'Life fund Balance Sheet'!E23</f>
        <v>782926</v>
      </c>
      <c r="F42" s="16"/>
    </row>
    <row r="43" spans="2:6" ht="12.75">
      <c r="B43" s="17" t="s">
        <v>129</v>
      </c>
      <c r="C43" s="20">
        <f>'Life fund Balance Sheet'!C24</f>
        <v>1199550</v>
      </c>
      <c r="D43" s="20"/>
      <c r="E43" s="20">
        <f>'Life fund Balance Sheet'!E24</f>
        <v>1259685</v>
      </c>
      <c r="F43" s="16"/>
    </row>
    <row r="44" spans="2:6" ht="12.75">
      <c r="B44" s="17" t="s">
        <v>88</v>
      </c>
      <c r="C44" s="20">
        <f>'Life fund Balance Sheet'!C25</f>
        <v>606506</v>
      </c>
      <c r="D44" s="20"/>
      <c r="E44" s="20">
        <f>'Life fund Balance Sheet'!E25</f>
        <v>346734</v>
      </c>
      <c r="F44" s="16"/>
    </row>
    <row r="45" spans="2:6" ht="12.75">
      <c r="B45" s="17" t="s">
        <v>130</v>
      </c>
      <c r="C45" s="20">
        <f>'Life fund Balance Sheet'!C26</f>
        <v>1077360</v>
      </c>
      <c r="D45" s="20"/>
      <c r="E45" s="20">
        <f>'Life fund Balance Sheet'!E26</f>
        <v>986401</v>
      </c>
      <c r="F45" s="16"/>
    </row>
    <row r="46" spans="2:6" ht="12.75">
      <c r="B46" s="17" t="s">
        <v>77</v>
      </c>
      <c r="C46" s="20">
        <f>'Life fund Balance Sheet'!C30</f>
        <v>802677</v>
      </c>
      <c r="D46" s="20"/>
      <c r="E46" s="20">
        <f>'Life fund Balance Sheet'!E30</f>
        <v>680872</v>
      </c>
      <c r="F46" s="16"/>
    </row>
    <row r="47" spans="2:6" ht="12.75">
      <c r="B47" s="17" t="s">
        <v>11</v>
      </c>
      <c r="C47" s="20">
        <f>'Life fund Balance Sheet'!C31</f>
        <v>7886</v>
      </c>
      <c r="D47" s="20"/>
      <c r="E47" s="20">
        <f>'Life fund Balance Sheet'!E31</f>
        <v>27762</v>
      </c>
      <c r="F47" s="16"/>
    </row>
    <row r="48" spans="2:6" ht="12.75">
      <c r="B48" s="17" t="s">
        <v>78</v>
      </c>
      <c r="C48" s="21">
        <f>+C50-SUM(C39:C47)</f>
        <v>502032</v>
      </c>
      <c r="D48" s="20"/>
      <c r="E48" s="21">
        <f>+E50-SUM(E39:E47)</f>
        <v>431796</v>
      </c>
      <c r="F48" s="16"/>
    </row>
    <row r="49" spans="3:6" ht="12.75">
      <c r="C49" s="20"/>
      <c r="D49" s="20"/>
      <c r="E49" s="20"/>
      <c r="F49" s="16"/>
    </row>
    <row r="50" spans="2:6" ht="21" customHeight="1">
      <c r="B50" s="17" t="s">
        <v>13</v>
      </c>
      <c r="C50" s="20">
        <f>'Life fund Balance Sheet'!C33</f>
        <v>5818059</v>
      </c>
      <c r="D50" s="20"/>
      <c r="E50" s="20">
        <f>'Life fund Balance Sheet'!E33</f>
        <v>5477669</v>
      </c>
      <c r="F50" s="16"/>
    </row>
    <row r="51" spans="3:6" ht="12.75">
      <c r="C51" s="20"/>
      <c r="D51" s="20"/>
      <c r="E51" s="20"/>
      <c r="F51" s="16"/>
    </row>
    <row r="52" spans="2:6" s="5" customFormat="1" ht="20.25" customHeight="1" thickBot="1">
      <c r="B52" s="17" t="s">
        <v>27</v>
      </c>
      <c r="C52" s="1">
        <f>+C37+C50</f>
        <v>6945980</v>
      </c>
      <c r="D52" s="20"/>
      <c r="E52" s="1">
        <f>+E37+E50</f>
        <v>6602947</v>
      </c>
      <c r="F52" s="2"/>
    </row>
    <row r="53" spans="3:6" ht="13.5" thickTop="1">
      <c r="C53" s="66"/>
      <c r="D53" s="20"/>
      <c r="E53" s="20"/>
      <c r="F53" s="16"/>
    </row>
    <row r="54" spans="2:6" ht="12.75">
      <c r="B54" s="5" t="s">
        <v>14</v>
      </c>
      <c r="C54" s="66"/>
      <c r="D54" s="20"/>
      <c r="E54" s="20"/>
      <c r="F54" s="16"/>
    </row>
    <row r="55" spans="3:6" ht="12.75">
      <c r="C55" s="66"/>
      <c r="D55" s="20"/>
      <c r="E55" s="20"/>
      <c r="F55" s="2"/>
    </row>
    <row r="56" spans="2:6" ht="21" customHeight="1">
      <c r="B56" s="18" t="s">
        <v>53</v>
      </c>
      <c r="C56" s="66"/>
      <c r="D56" s="20"/>
      <c r="E56" s="20"/>
      <c r="F56" s="16"/>
    </row>
    <row r="57" spans="3:6" ht="12.75">
      <c r="C57" s="66"/>
      <c r="D57" s="20"/>
      <c r="E57" s="20"/>
      <c r="F57" s="16"/>
    </row>
    <row r="58" spans="2:7" ht="12.75">
      <c r="B58" s="17" t="s">
        <v>15</v>
      </c>
      <c r="C58" s="20">
        <v>288891</v>
      </c>
      <c r="D58" s="20"/>
      <c r="E58" s="20">
        <v>287333</v>
      </c>
      <c r="F58" s="16"/>
      <c r="G58" s="19"/>
    </row>
    <row r="59" spans="2:7" ht="12.75">
      <c r="B59" s="17" t="s">
        <v>90</v>
      </c>
      <c r="C59" s="20">
        <v>57743</v>
      </c>
      <c r="D59" s="20"/>
      <c r="E59" s="20">
        <v>62514</v>
      </c>
      <c r="F59" s="16"/>
      <c r="G59" s="19"/>
    </row>
    <row r="60" spans="2:7" ht="12.75">
      <c r="B60" s="17" t="s">
        <v>91</v>
      </c>
      <c r="C60" s="20"/>
      <c r="D60" s="20"/>
      <c r="E60" s="20"/>
      <c r="F60" s="16"/>
      <c r="G60" s="19"/>
    </row>
    <row r="61" spans="2:7" ht="12.75">
      <c r="B61" s="17" t="s">
        <v>92</v>
      </c>
      <c r="C61" s="20"/>
      <c r="D61" s="20"/>
      <c r="E61" s="20"/>
      <c r="F61" s="16"/>
      <c r="G61" s="19"/>
    </row>
    <row r="62" spans="2:7" ht="12.75">
      <c r="B62" s="17" t="s">
        <v>93</v>
      </c>
      <c r="C62" s="20">
        <v>30000</v>
      </c>
      <c r="D62" s="20"/>
      <c r="E62" s="20">
        <v>60000</v>
      </c>
      <c r="F62" s="16"/>
      <c r="G62" s="19"/>
    </row>
    <row r="63" spans="2:7" ht="12.75">
      <c r="B63" s="17" t="s">
        <v>127</v>
      </c>
      <c r="C63" s="20">
        <v>66507</v>
      </c>
      <c r="D63" s="20"/>
      <c r="E63" s="20">
        <v>67155</v>
      </c>
      <c r="F63" s="16"/>
      <c r="G63" s="19"/>
    </row>
    <row r="64" spans="2:7" ht="12.75">
      <c r="B64" s="17" t="s">
        <v>94</v>
      </c>
      <c r="C64" s="20">
        <v>27209</v>
      </c>
      <c r="D64" s="20"/>
      <c r="E64" s="20">
        <v>14293</v>
      </c>
      <c r="F64" s="16"/>
      <c r="G64" s="19"/>
    </row>
    <row r="65" spans="2:7" ht="12.75">
      <c r="B65" s="17" t="s">
        <v>131</v>
      </c>
      <c r="C65" s="20">
        <f>125017+15</f>
        <v>125032</v>
      </c>
      <c r="D65" s="20"/>
      <c r="E65" s="20">
        <v>74817</v>
      </c>
      <c r="F65" s="16"/>
      <c r="G65" s="19"/>
    </row>
    <row r="66" spans="2:7" ht="12.75">
      <c r="B66" s="17" t="s">
        <v>71</v>
      </c>
      <c r="C66" s="20">
        <v>9997</v>
      </c>
      <c r="D66" s="20"/>
      <c r="E66" s="20">
        <v>9417</v>
      </c>
      <c r="F66" s="16"/>
      <c r="G66" s="19"/>
    </row>
    <row r="67" spans="2:7" ht="12.75">
      <c r="B67" s="17" t="s">
        <v>72</v>
      </c>
      <c r="C67" s="21">
        <v>2784</v>
      </c>
      <c r="D67" s="20"/>
      <c r="E67" s="21">
        <v>4805</v>
      </c>
      <c r="F67" s="16"/>
      <c r="G67" s="19"/>
    </row>
    <row r="68" spans="2:6" ht="21" customHeight="1">
      <c r="B68" s="18" t="s">
        <v>54</v>
      </c>
      <c r="C68" s="20">
        <f>SUM(C58:C67)</f>
        <v>608163</v>
      </c>
      <c r="D68" s="20"/>
      <c r="E68" s="20">
        <f>SUM(E58:E67)</f>
        <v>580334</v>
      </c>
      <c r="F68" s="16"/>
    </row>
    <row r="69" spans="3:6" ht="12.75">
      <c r="C69" s="20"/>
      <c r="D69" s="20"/>
      <c r="E69" s="20"/>
      <c r="F69" s="16"/>
    </row>
    <row r="70" spans="2:6" ht="20.25" customHeight="1">
      <c r="B70" s="17" t="s">
        <v>19</v>
      </c>
      <c r="C70" s="20">
        <f>'Life fund Balance Sheet'!C44</f>
        <v>597739</v>
      </c>
      <c r="D70" s="20"/>
      <c r="E70" s="20">
        <f>'Life fund Balance Sheet'!E44</f>
        <v>538597</v>
      </c>
      <c r="F70" s="16"/>
    </row>
    <row r="71" spans="2:6" ht="12.75">
      <c r="B71" s="5"/>
      <c r="C71" s="20"/>
      <c r="D71" s="20"/>
      <c r="E71" s="20"/>
      <c r="F71" s="16"/>
    </row>
    <row r="72" spans="3:6" ht="21" customHeight="1">
      <c r="C72" s="3">
        <f>SUM(C68:C70)</f>
        <v>1205902</v>
      </c>
      <c r="D72" s="20"/>
      <c r="E72" s="3">
        <f>SUM(E68:E70)</f>
        <v>1118931</v>
      </c>
      <c r="F72" s="16"/>
    </row>
    <row r="73" spans="3:6" ht="12.75">
      <c r="C73" s="20"/>
      <c r="D73" s="20"/>
      <c r="E73" s="20"/>
      <c r="F73" s="16"/>
    </row>
    <row r="74" spans="2:6" ht="12.75">
      <c r="B74" s="17" t="s">
        <v>55</v>
      </c>
      <c r="C74" s="20">
        <v>143080</v>
      </c>
      <c r="D74" s="20"/>
      <c r="E74" s="20">
        <v>151349</v>
      </c>
      <c r="F74" s="16"/>
    </row>
    <row r="75" spans="2:6" ht="12.75">
      <c r="B75" s="17" t="s">
        <v>28</v>
      </c>
      <c r="C75" s="21">
        <f>'Life fund Balance Sheet'!C46</f>
        <v>5216991</v>
      </c>
      <c r="D75" s="20"/>
      <c r="E75" s="21">
        <v>4930032</v>
      </c>
      <c r="F75" s="16"/>
    </row>
    <row r="76" spans="3:6" ht="21" customHeight="1">
      <c r="C76" s="3">
        <f>SUM(C74:C75)</f>
        <v>5360071</v>
      </c>
      <c r="D76" s="20"/>
      <c r="E76" s="3">
        <f>SUM(E74:E75)</f>
        <v>5081381</v>
      </c>
      <c r="F76" s="16"/>
    </row>
    <row r="77" spans="3:6" ht="12.75">
      <c r="C77" s="20"/>
      <c r="D77" s="20"/>
      <c r="E77" s="20"/>
      <c r="F77" s="16"/>
    </row>
    <row r="78" spans="2:6" ht="20.25" customHeight="1">
      <c r="B78" s="17" t="s">
        <v>56</v>
      </c>
      <c r="C78" s="20">
        <f>+C72+C76</f>
        <v>6565973</v>
      </c>
      <c r="D78" s="20"/>
      <c r="E78" s="20">
        <f>+E72+E76</f>
        <v>6200312</v>
      </c>
      <c r="F78" s="16"/>
    </row>
    <row r="79" spans="3:6" ht="12.75">
      <c r="C79" s="20"/>
      <c r="D79" s="20"/>
      <c r="E79" s="20"/>
      <c r="F79" s="16"/>
    </row>
    <row r="80" spans="2:6" ht="12.75">
      <c r="B80" s="17" t="s">
        <v>95</v>
      </c>
      <c r="C80" s="20">
        <f>'Life fund Balance Sheet'!C50</f>
        <v>3329</v>
      </c>
      <c r="D80" s="20"/>
      <c r="E80" s="20">
        <f>'Life fund Balance Sheet'!E50</f>
        <v>9040</v>
      </c>
      <c r="F80" s="16"/>
    </row>
    <row r="81" spans="3:6" ht="20.25" customHeight="1" thickBot="1">
      <c r="C81" s="1">
        <f>C78+C80</f>
        <v>6569302</v>
      </c>
      <c r="D81" s="20"/>
      <c r="E81" s="1">
        <f>E78+E80</f>
        <v>6209352</v>
      </c>
      <c r="F81" s="16"/>
    </row>
    <row r="82" spans="3:6" ht="13.5" thickTop="1">
      <c r="C82" s="20"/>
      <c r="D82" s="20"/>
      <c r="E82" s="20"/>
      <c r="F82" s="16"/>
    </row>
    <row r="83" spans="2:6" ht="12.75">
      <c r="B83" s="5" t="s">
        <v>96</v>
      </c>
      <c r="C83" s="20"/>
      <c r="D83" s="20"/>
      <c r="E83" s="20"/>
      <c r="F83" s="16"/>
    </row>
    <row r="84" spans="2:6" ht="12.75">
      <c r="B84" s="5"/>
      <c r="C84" s="20"/>
      <c r="D84" s="20"/>
      <c r="E84" s="20"/>
      <c r="F84" s="16"/>
    </row>
    <row r="85" spans="2:6" ht="20.25" customHeight="1">
      <c r="B85" s="17" t="s">
        <v>136</v>
      </c>
      <c r="C85" s="20"/>
      <c r="D85" s="20"/>
      <c r="E85" s="20"/>
      <c r="F85" s="16"/>
    </row>
    <row r="86" spans="3:6" ht="12.75">
      <c r="C86" s="20"/>
      <c r="D86" s="20"/>
      <c r="E86" s="20"/>
      <c r="F86" s="16"/>
    </row>
    <row r="87" spans="2:6" ht="12.75">
      <c r="B87" s="17" t="s">
        <v>30</v>
      </c>
      <c r="C87" s="20">
        <f>+E87*2</f>
        <v>304354</v>
      </c>
      <c r="D87" s="20"/>
      <c r="E87" s="20">
        <v>152177</v>
      </c>
      <c r="F87" s="16"/>
    </row>
    <row r="88" spans="2:6" ht="12.75">
      <c r="B88" s="17" t="s">
        <v>31</v>
      </c>
      <c r="C88" s="20">
        <v>0</v>
      </c>
      <c r="D88" s="20"/>
      <c r="E88" s="20">
        <v>11744</v>
      </c>
      <c r="F88" s="16"/>
    </row>
    <row r="89" spans="2:7" ht="12.75">
      <c r="B89" s="17" t="s">
        <v>97</v>
      </c>
      <c r="C89" s="20">
        <f>+E89+'Condensed Income Statement'!F47+'Cond Stmt of changes  in equity'!F18+'Cond Stmt of changes  in equity'!F28</f>
        <v>73452</v>
      </c>
      <c r="D89" s="20"/>
      <c r="E89" s="20">
        <v>226836</v>
      </c>
      <c r="F89" s="16"/>
      <c r="G89" s="20"/>
    </row>
    <row r="90" spans="2:7" ht="12.75">
      <c r="B90" s="17" t="s">
        <v>32</v>
      </c>
      <c r="C90" s="21">
        <v>-2491</v>
      </c>
      <c r="D90" s="20"/>
      <c r="E90" s="21">
        <v>1063</v>
      </c>
      <c r="F90" s="16"/>
      <c r="G90" s="20"/>
    </row>
    <row r="91" spans="2:7" ht="21" customHeight="1">
      <c r="B91" s="56"/>
      <c r="C91" s="20">
        <f>SUM(C87:C90)</f>
        <v>375315</v>
      </c>
      <c r="D91" s="20"/>
      <c r="E91" s="20">
        <f>SUM(E87:E90)</f>
        <v>391820</v>
      </c>
      <c r="F91" s="16"/>
      <c r="G91" s="20"/>
    </row>
    <row r="92" spans="3:7" ht="12.75">
      <c r="C92" s="20"/>
      <c r="D92" s="20"/>
      <c r="E92" s="20"/>
      <c r="F92" s="16"/>
      <c r="G92" s="20"/>
    </row>
    <row r="93" spans="2:7" ht="12.75">
      <c r="B93" s="17" t="s">
        <v>33</v>
      </c>
      <c r="C93" s="21">
        <v>1363</v>
      </c>
      <c r="D93" s="20"/>
      <c r="E93" s="21">
        <v>1775</v>
      </c>
      <c r="F93" s="16"/>
      <c r="G93" s="28"/>
    </row>
    <row r="94" spans="3:6" ht="12.75">
      <c r="C94" s="20">
        <f>+C91+C93</f>
        <v>376678</v>
      </c>
      <c r="D94" s="20"/>
      <c r="E94" s="20">
        <f>+E91+E93</f>
        <v>393595</v>
      </c>
      <c r="F94" s="16"/>
    </row>
    <row r="95" spans="3:6" ht="12.75">
      <c r="C95" s="20"/>
      <c r="D95" s="20"/>
      <c r="E95" s="20"/>
      <c r="F95" s="16"/>
    </row>
    <row r="96" spans="2:6" ht="20.25" customHeight="1" thickBot="1">
      <c r="B96" s="18" t="s">
        <v>79</v>
      </c>
      <c r="C96" s="1">
        <f>+C81+C94</f>
        <v>6945980</v>
      </c>
      <c r="D96" s="20"/>
      <c r="E96" s="1">
        <f>+E81+E94</f>
        <v>6602947</v>
      </c>
      <c r="F96" s="16"/>
    </row>
    <row r="97" spans="3:6" ht="13.5" thickTop="1">
      <c r="C97" s="77">
        <f>+C52-C96</f>
        <v>0</v>
      </c>
      <c r="D97" s="4"/>
      <c r="E97" s="4">
        <f>+E52-E96</f>
        <v>0</v>
      </c>
      <c r="F97" s="16"/>
    </row>
    <row r="98" spans="3:6" ht="12.75">
      <c r="C98" s="20"/>
      <c r="D98" s="20"/>
      <c r="E98" s="20"/>
      <c r="F98" s="16"/>
    </row>
    <row r="99" spans="2:6" ht="26.25" thickBot="1">
      <c r="B99" s="72" t="s">
        <v>148</v>
      </c>
      <c r="C99" s="23">
        <f>(C91)/C87</f>
        <v>1.2331528417566386</v>
      </c>
      <c r="D99" s="24"/>
      <c r="E99" s="23">
        <f>(E91)/E87</f>
        <v>2.574764911911787</v>
      </c>
      <c r="F99" s="16"/>
    </row>
    <row r="100" spans="3:6" ht="13.5" thickTop="1">
      <c r="C100" s="58"/>
      <c r="D100" s="20"/>
      <c r="E100" s="19"/>
      <c r="F100" s="16"/>
    </row>
    <row r="101" spans="3:6" ht="12.75">
      <c r="C101" s="58"/>
      <c r="D101" s="20"/>
      <c r="E101" s="19"/>
      <c r="F101" s="16"/>
    </row>
    <row r="102" spans="2:7" ht="12.75">
      <c r="B102" s="83" t="s">
        <v>98</v>
      </c>
      <c r="C102" s="83"/>
      <c r="D102" s="83"/>
      <c r="E102" s="83"/>
      <c r="F102" s="26"/>
      <c r="G102" s="26"/>
    </row>
    <row r="103" spans="2:7" ht="12.75">
      <c r="B103" s="83"/>
      <c r="C103" s="83"/>
      <c r="D103" s="83"/>
      <c r="E103" s="83"/>
      <c r="F103" s="26"/>
      <c r="G103" s="26"/>
    </row>
    <row r="104" spans="3:6" ht="12.75">
      <c r="C104" s="58"/>
      <c r="D104" s="20"/>
      <c r="E104" s="19"/>
      <c r="F104" s="16"/>
    </row>
    <row r="105" spans="3:6" ht="12.75">
      <c r="C105" s="58"/>
      <c r="D105" s="20"/>
      <c r="E105" s="19"/>
      <c r="F105" s="27"/>
    </row>
    <row r="106" spans="3:6" ht="12.75">
      <c r="C106" s="58"/>
      <c r="D106" s="20"/>
      <c r="E106" s="19"/>
      <c r="F106" s="16"/>
    </row>
    <row r="107" spans="3:6" ht="12.75">
      <c r="C107" s="58"/>
      <c r="D107" s="20"/>
      <c r="E107" s="19"/>
      <c r="F107" s="16"/>
    </row>
    <row r="108" spans="3:6" ht="12.75">
      <c r="C108" s="58"/>
      <c r="D108" s="20"/>
      <c r="E108" s="19"/>
      <c r="F108" s="16"/>
    </row>
    <row r="109" spans="3:6" ht="12.75">
      <c r="C109" s="58"/>
      <c r="D109" s="20"/>
      <c r="E109" s="19"/>
      <c r="F109" s="16"/>
    </row>
    <row r="110" spans="3:6" ht="12.75">
      <c r="C110" s="58"/>
      <c r="D110" s="20"/>
      <c r="E110" s="19"/>
      <c r="F110" s="16"/>
    </row>
    <row r="111" spans="3:6" ht="12.75">
      <c r="C111" s="58"/>
      <c r="D111" s="20"/>
      <c r="E111" s="19"/>
      <c r="F111" s="16"/>
    </row>
    <row r="112" spans="3:6" ht="12.75">
      <c r="C112" s="58"/>
      <c r="D112" s="20"/>
      <c r="E112" s="19"/>
      <c r="F112" s="16"/>
    </row>
    <row r="113" spans="3:6" ht="12.75">
      <c r="C113" s="58"/>
      <c r="D113" s="20"/>
      <c r="E113" s="19"/>
      <c r="F113" s="16"/>
    </row>
    <row r="114" spans="2:6" ht="12.75">
      <c r="B114" s="10"/>
      <c r="C114" s="70"/>
      <c r="E114" s="29"/>
      <c r="F114" s="16"/>
    </row>
    <row r="115" spans="2:6" ht="12.75">
      <c r="B115" s="10"/>
      <c r="C115" s="70"/>
      <c r="E115" s="29"/>
      <c r="F115" s="29"/>
    </row>
    <row r="116" spans="2:6" ht="12.75">
      <c r="B116" s="30"/>
      <c r="C116" s="70"/>
      <c r="E116" s="29"/>
      <c r="F116" s="29"/>
    </row>
    <row r="117" spans="2:6" ht="12.75">
      <c r="B117" s="30"/>
      <c r="C117" s="70"/>
      <c r="E117" s="29"/>
      <c r="F117" s="29"/>
    </row>
    <row r="118" spans="2:6" ht="12.75">
      <c r="B118" s="30"/>
      <c r="C118" s="70"/>
      <c r="E118" s="29"/>
      <c r="F118" s="29"/>
    </row>
    <row r="119" spans="2:6" ht="12.75">
      <c r="B119" s="31"/>
      <c r="E119" s="32"/>
      <c r="F119" s="32"/>
    </row>
    <row r="120" spans="2:6" ht="12.75">
      <c r="B120" s="31"/>
      <c r="E120" s="32"/>
      <c r="F120" s="32"/>
    </row>
    <row r="121" spans="2:6" ht="12.75">
      <c r="B121" s="31"/>
      <c r="E121" s="32"/>
      <c r="F121" s="32"/>
    </row>
    <row r="122" spans="2:6" ht="12.75">
      <c r="B122" s="31"/>
      <c r="E122" s="32"/>
      <c r="F122" s="32"/>
    </row>
    <row r="123" spans="2:6" ht="12.75">
      <c r="B123" s="31"/>
      <c r="E123" s="32"/>
      <c r="F123" s="32"/>
    </row>
    <row r="124" spans="2:6" ht="12.75">
      <c r="B124" s="31"/>
      <c r="E124" s="32"/>
      <c r="F124" s="32"/>
    </row>
    <row r="125" spans="2:6" ht="12.75">
      <c r="B125" s="31"/>
      <c r="E125" s="32"/>
      <c r="F125" s="32"/>
    </row>
    <row r="126" spans="2:6" ht="12.75">
      <c r="B126" s="31"/>
      <c r="E126" s="32"/>
      <c r="F126" s="32"/>
    </row>
    <row r="127" spans="2:6" ht="12.75">
      <c r="B127" s="31"/>
      <c r="E127" s="32"/>
      <c r="F127" s="32"/>
    </row>
    <row r="128" spans="2:6" ht="12.75">
      <c r="B128" s="31"/>
      <c r="E128" s="32"/>
      <c r="F128" s="32"/>
    </row>
    <row r="129" spans="2:6" ht="12.75">
      <c r="B129" s="31"/>
      <c r="E129" s="32"/>
      <c r="F129" s="32"/>
    </row>
    <row r="130" spans="2:6" ht="12.75">
      <c r="B130" s="31"/>
      <c r="E130" s="32"/>
      <c r="F130" s="32"/>
    </row>
    <row r="131" spans="2:6" ht="12.75">
      <c r="B131" s="31"/>
      <c r="E131" s="32"/>
      <c r="F131" s="32"/>
    </row>
    <row r="132" spans="2:6" ht="12.75">
      <c r="B132" s="31"/>
      <c r="E132" s="32"/>
      <c r="F132" s="32"/>
    </row>
    <row r="133" spans="2:6" ht="12.75">
      <c r="B133" s="31"/>
      <c r="E133" s="32"/>
      <c r="F133" s="32"/>
    </row>
    <row r="134" spans="2:6" ht="12.75">
      <c r="B134" s="31"/>
      <c r="E134" s="32"/>
      <c r="F134" s="32"/>
    </row>
    <row r="135" spans="2:6" ht="12.75">
      <c r="B135" s="31"/>
      <c r="E135" s="32"/>
      <c r="F135" s="32"/>
    </row>
    <row r="136" spans="2:6" ht="12.75">
      <c r="B136" s="31"/>
      <c r="E136" s="32"/>
      <c r="F136" s="32"/>
    </row>
    <row r="137" spans="2:6" ht="12.75">
      <c r="B137" s="31"/>
      <c r="E137" s="32"/>
      <c r="F137" s="32"/>
    </row>
    <row r="138" spans="2:6" ht="12.75">
      <c r="B138" s="31"/>
      <c r="E138" s="32"/>
      <c r="F138" s="32"/>
    </row>
    <row r="139" spans="2:6" ht="12.75">
      <c r="B139" s="31"/>
      <c r="E139" s="32"/>
      <c r="F139" s="32"/>
    </row>
    <row r="140" spans="2:6" ht="12.75">
      <c r="B140" s="31"/>
      <c r="E140" s="32"/>
      <c r="F140" s="32"/>
    </row>
    <row r="141" spans="2:6" ht="12.75">
      <c r="B141" s="31"/>
      <c r="E141" s="32"/>
      <c r="F141" s="32"/>
    </row>
    <row r="142" ht="12.75">
      <c r="B142" s="31"/>
    </row>
    <row r="143" ht="12.75">
      <c r="B143" s="31"/>
    </row>
    <row r="144" ht="12.75">
      <c r="B144" s="31"/>
    </row>
    <row r="145" ht="12.75">
      <c r="B145" s="31"/>
    </row>
    <row r="146" ht="12.75">
      <c r="B146" s="31"/>
    </row>
    <row r="147" ht="12.75">
      <c r="B147" s="31"/>
    </row>
    <row r="148" ht="12.75">
      <c r="B148" s="31"/>
    </row>
    <row r="149" ht="12.75">
      <c r="B149" s="31"/>
    </row>
    <row r="150" ht="12.75">
      <c r="B150" s="31"/>
    </row>
    <row r="151" ht="12.75">
      <c r="B151" s="31"/>
    </row>
    <row r="152" ht="12.75">
      <c r="B152" s="31"/>
    </row>
    <row r="153" ht="12.75">
      <c r="B153" s="31"/>
    </row>
    <row r="154" ht="12.75">
      <c r="B154" s="31"/>
    </row>
    <row r="155" ht="12.75">
      <c r="B155" s="31"/>
    </row>
    <row r="156" ht="12.75">
      <c r="B156" s="31"/>
    </row>
  </sheetData>
  <mergeCells count="2">
    <mergeCell ref="B4:E5"/>
    <mergeCell ref="B102:E103"/>
  </mergeCells>
  <printOptions/>
  <pageMargins left="0.5" right="0.5" top="0.5" bottom="0.5" header="0.5" footer="0.5"/>
  <pageSetup fitToHeight="2" horizontalDpi="300" verticalDpi="300" orientation="portrait" paperSize="9" scale="85" r:id="rId1"/>
  <headerFooter alignWithMargins="0">
    <oddHeader>&amp;CPage &amp;P of &amp;N</oddHeader>
  </headerFooter>
  <rowBreaks count="1" manualBreakCount="1">
    <brk id="53" max="5" man="1"/>
  </rowBreaks>
</worksheet>
</file>

<file path=xl/worksheets/sheet2.xml><?xml version="1.0" encoding="utf-8"?>
<worksheet xmlns="http://schemas.openxmlformats.org/spreadsheetml/2006/main" xmlns:r="http://schemas.openxmlformats.org/officeDocument/2006/relationships">
  <sheetPr>
    <pageSetUpPr fitToPage="1"/>
  </sheetPr>
  <dimension ref="B2:H70"/>
  <sheetViews>
    <sheetView tabSelected="1" zoomScale="80" zoomScaleNormal="80" workbookViewId="0" topLeftCell="A1">
      <selection activeCell="B33" sqref="B33"/>
    </sheetView>
  </sheetViews>
  <sheetFormatPr defaultColWidth="9.140625" defaultRowHeight="12.75"/>
  <cols>
    <col min="1" max="1" width="7.7109375" style="17" customWidth="1"/>
    <col min="2" max="2" width="40.00390625" style="17" customWidth="1"/>
    <col min="3" max="4" width="14.57421875" style="17" customWidth="1"/>
    <col min="5" max="5" width="1.57421875" style="17" customWidth="1"/>
    <col min="6" max="7" width="14.57421875" style="17" customWidth="1"/>
    <col min="8" max="8" width="7.7109375" style="17" customWidth="1"/>
    <col min="9" max="16384" width="9.140625" style="17" customWidth="1"/>
  </cols>
  <sheetData>
    <row r="2" spans="2:8" ht="12.75">
      <c r="B2" s="5" t="s">
        <v>0</v>
      </c>
      <c r="C2" s="5"/>
      <c r="D2" s="5"/>
      <c r="E2" s="5"/>
      <c r="F2" s="5"/>
      <c r="G2" s="5"/>
      <c r="H2" s="5"/>
    </row>
    <row r="3" spans="2:8" ht="12.75">
      <c r="B3" s="5"/>
      <c r="C3" s="5"/>
      <c r="D3" s="5"/>
      <c r="E3" s="5"/>
      <c r="F3" s="5"/>
      <c r="G3" s="5"/>
      <c r="H3" s="5"/>
    </row>
    <row r="4" spans="2:8" ht="12.75">
      <c r="B4" s="85" t="s">
        <v>140</v>
      </c>
      <c r="C4" s="84"/>
      <c r="D4" s="84"/>
      <c r="E4" s="84"/>
      <c r="F4" s="84"/>
      <c r="G4" s="84"/>
      <c r="H4" s="26"/>
    </row>
    <row r="5" spans="2:8" ht="12.75">
      <c r="B5" s="84"/>
      <c r="C5" s="84"/>
      <c r="D5" s="84"/>
      <c r="E5" s="84"/>
      <c r="F5" s="84"/>
      <c r="G5" s="84"/>
      <c r="H5" s="26"/>
    </row>
    <row r="6" spans="2:8" ht="12.75">
      <c r="B6" s="8"/>
      <c r="C6" s="8"/>
      <c r="D6" s="8"/>
      <c r="E6" s="8"/>
      <c r="F6" s="8"/>
      <c r="G6" s="8"/>
      <c r="H6" s="8"/>
    </row>
    <row r="7" spans="2:8" ht="12.75">
      <c r="B7" s="5" t="s">
        <v>48</v>
      </c>
      <c r="C7" s="33"/>
      <c r="D7" s="33"/>
      <c r="E7" s="5"/>
      <c r="F7" s="5"/>
      <c r="G7" s="5"/>
      <c r="H7" s="5"/>
    </row>
    <row r="8" spans="2:8" ht="12.75">
      <c r="B8" s="5"/>
      <c r="C8" s="33"/>
      <c r="D8" s="33"/>
      <c r="E8" s="5"/>
      <c r="F8" s="5"/>
      <c r="G8" s="5"/>
      <c r="H8" s="5"/>
    </row>
    <row r="9" spans="2:8" ht="12.75">
      <c r="B9" s="5"/>
      <c r="C9" s="86" t="s">
        <v>34</v>
      </c>
      <c r="D9" s="86"/>
      <c r="E9" s="11"/>
      <c r="F9" s="86" t="s">
        <v>142</v>
      </c>
      <c r="G9" s="86"/>
      <c r="H9" s="7"/>
    </row>
    <row r="10" spans="2:8" ht="13.5" thickBot="1">
      <c r="B10" s="7"/>
      <c r="C10" s="14" t="s">
        <v>139</v>
      </c>
      <c r="D10" s="14" t="s">
        <v>141</v>
      </c>
      <c r="E10" s="11"/>
      <c r="F10" s="14" t="str">
        <f>C10</f>
        <v>30.09.2006</v>
      </c>
      <c r="G10" s="14" t="str">
        <f>D10</f>
        <v>30.09.2005</v>
      </c>
      <c r="H10" s="11"/>
    </row>
    <row r="11" spans="2:8" ht="12.75">
      <c r="B11" s="7"/>
      <c r="C11" s="12"/>
      <c r="D11" s="12"/>
      <c r="E11" s="11"/>
      <c r="F11" s="12"/>
      <c r="G11" s="13"/>
      <c r="H11" s="11"/>
    </row>
    <row r="12" spans="3:8" ht="12.75">
      <c r="C12" s="34" t="s">
        <v>8</v>
      </c>
      <c r="D12" s="34" t="str">
        <f>+C12</f>
        <v>RM'000</v>
      </c>
      <c r="F12" s="34" t="str">
        <f>+D12</f>
        <v>RM'000</v>
      </c>
      <c r="G12" s="34" t="str">
        <f>+F12</f>
        <v>RM'000</v>
      </c>
      <c r="H12" s="11"/>
    </row>
    <row r="13" spans="3:8" ht="12.75">
      <c r="C13" s="11"/>
      <c r="D13" s="11"/>
      <c r="F13" s="11"/>
      <c r="G13" s="11"/>
      <c r="H13" s="11"/>
    </row>
    <row r="14" spans="2:8" ht="13.5" thickBot="1">
      <c r="B14" s="5" t="s">
        <v>57</v>
      </c>
      <c r="C14" s="35">
        <f>+F14-1541044</f>
        <v>803403</v>
      </c>
      <c r="D14" s="36">
        <f>+G14-1208100</f>
        <v>601969</v>
      </c>
      <c r="E14" s="19"/>
      <c r="F14" s="35">
        <v>2344447</v>
      </c>
      <c r="G14" s="36">
        <v>1810069</v>
      </c>
      <c r="H14" s="37"/>
    </row>
    <row r="15" spans="3:8" ht="13.5" thickTop="1">
      <c r="C15" s="19"/>
      <c r="D15" s="37"/>
      <c r="E15" s="19"/>
      <c r="F15" s="19"/>
      <c r="G15" s="37"/>
      <c r="H15" s="37"/>
    </row>
    <row r="16" spans="2:8" ht="12.75">
      <c r="B16" s="17" t="s">
        <v>29</v>
      </c>
      <c r="C16" s="19"/>
      <c r="D16" s="37"/>
      <c r="E16" s="19"/>
      <c r="F16" s="19"/>
      <c r="G16" s="37"/>
      <c r="H16" s="37"/>
    </row>
    <row r="17" spans="3:8" ht="12.75">
      <c r="C17" s="19"/>
      <c r="D17" s="37"/>
      <c r="E17" s="19"/>
      <c r="F17" s="19"/>
      <c r="G17" s="37"/>
      <c r="H17" s="37"/>
    </row>
    <row r="18" spans="2:8" ht="12.75">
      <c r="B18" s="17" t="s">
        <v>41</v>
      </c>
      <c r="C18" s="19">
        <f>+F18-993</f>
        <v>1962</v>
      </c>
      <c r="D18" s="37">
        <f>+G18-606</f>
        <v>991</v>
      </c>
      <c r="E18" s="19"/>
      <c r="F18" s="19">
        <f>698+2257</f>
        <v>2955</v>
      </c>
      <c r="G18" s="37">
        <v>1597</v>
      </c>
      <c r="H18" s="37"/>
    </row>
    <row r="19" spans="2:8" ht="12.75">
      <c r="B19" s="9" t="s">
        <v>76</v>
      </c>
      <c r="C19" s="20">
        <f>+F19-22713</f>
        <v>6616</v>
      </c>
      <c r="D19" s="37">
        <f>+G19-21540</f>
        <v>51211</v>
      </c>
      <c r="E19" s="19"/>
      <c r="F19" s="19">
        <f>32380-2257-794</f>
        <v>29329</v>
      </c>
      <c r="G19" s="37">
        <f>33408+39343</f>
        <v>72751</v>
      </c>
      <c r="H19" s="37"/>
    </row>
    <row r="20" spans="2:8" ht="12.75">
      <c r="B20" s="17" t="s">
        <v>40</v>
      </c>
      <c r="C20" s="21">
        <f>+F20+32455</f>
        <v>-3121</v>
      </c>
      <c r="D20" s="40">
        <f>+G20--27501</f>
        <v>-15476</v>
      </c>
      <c r="E20" s="19"/>
      <c r="F20" s="21">
        <v>-35576</v>
      </c>
      <c r="G20" s="40">
        <f>-38727-4250</f>
        <v>-42977</v>
      </c>
      <c r="H20" s="37"/>
    </row>
    <row r="21" spans="3:8" ht="12.75">
      <c r="C21" s="19"/>
      <c r="D21" s="37"/>
      <c r="E21" s="19"/>
      <c r="F21" s="19"/>
      <c r="G21" s="37"/>
      <c r="H21" s="37"/>
    </row>
    <row r="22" spans="3:8" ht="12.75">
      <c r="C22" s="19">
        <f>SUM(C18:C20)</f>
        <v>5457</v>
      </c>
      <c r="D22" s="37">
        <f>SUM(D18:D20)</f>
        <v>36726</v>
      </c>
      <c r="E22" s="19"/>
      <c r="F22" s="19">
        <f>SUM(F18:F20)</f>
        <v>-3292</v>
      </c>
      <c r="G22" s="37">
        <f>SUM(G18:G20)</f>
        <v>31371</v>
      </c>
      <c r="H22" s="37"/>
    </row>
    <row r="23" spans="2:8" ht="12.75">
      <c r="B23" s="84" t="s">
        <v>119</v>
      </c>
      <c r="C23" s="19"/>
      <c r="D23" s="37"/>
      <c r="E23" s="19"/>
      <c r="F23" s="19"/>
      <c r="G23" s="37"/>
      <c r="H23" s="37"/>
    </row>
    <row r="24" spans="2:8" ht="12.75">
      <c r="B24" s="84"/>
      <c r="C24" s="19"/>
      <c r="D24" s="37"/>
      <c r="E24" s="19"/>
      <c r="F24" s="19"/>
      <c r="G24" s="37"/>
      <c r="H24" s="37"/>
    </row>
    <row r="25" spans="3:8" ht="12.75">
      <c r="C25" s="19"/>
      <c r="D25" s="37"/>
      <c r="E25" s="19"/>
      <c r="F25" s="19"/>
      <c r="G25" s="37"/>
      <c r="H25" s="37"/>
    </row>
    <row r="26" spans="2:8" ht="12.75">
      <c r="B26" s="38" t="s">
        <v>49</v>
      </c>
      <c r="C26" s="19">
        <f>'General fund Revenue Account'!C35</f>
        <v>-813</v>
      </c>
      <c r="D26" s="19">
        <f>'General fund Revenue Account'!D35</f>
        <v>5489</v>
      </c>
      <c r="E26" s="19"/>
      <c r="F26" s="19">
        <f>'General fund Revenue Account'!F35</f>
        <v>17244</v>
      </c>
      <c r="G26" s="19">
        <f>'General fund Revenue Account'!G35</f>
        <v>-10667</v>
      </c>
      <c r="H26" s="37"/>
    </row>
    <row r="27" spans="2:8" ht="12.75">
      <c r="B27" s="38" t="s">
        <v>111</v>
      </c>
      <c r="C27" s="21">
        <f>-'Life Fund Revenue Account'!C47</f>
        <v>0</v>
      </c>
      <c r="D27" s="21">
        <f>-'Life Fund Revenue Account'!D47</f>
        <v>0</v>
      </c>
      <c r="E27" s="19"/>
      <c r="F27" s="21">
        <f>-'Life Fund Revenue Account'!F47</f>
        <v>0</v>
      </c>
      <c r="G27" s="21">
        <f>-'Life Fund Revenue Account'!G47</f>
        <v>0</v>
      </c>
      <c r="H27" s="37"/>
    </row>
    <row r="28" spans="2:8" ht="12.75">
      <c r="B28" s="38"/>
      <c r="C28" s="20"/>
      <c r="D28" s="20"/>
      <c r="E28" s="20"/>
      <c r="F28" s="20"/>
      <c r="G28" s="20"/>
      <c r="H28" s="37"/>
    </row>
    <row r="29" spans="2:8" ht="12.75">
      <c r="B29" s="17" t="s">
        <v>156</v>
      </c>
      <c r="C29" s="37">
        <f>+C22+C26+C27</f>
        <v>4644</v>
      </c>
      <c r="D29" s="37">
        <f>+D22+D26+D27</f>
        <v>42215</v>
      </c>
      <c r="E29" s="19"/>
      <c r="F29" s="37">
        <f>+F22+F26+F27</f>
        <v>13952</v>
      </c>
      <c r="G29" s="37">
        <f>+G22+G26+G27</f>
        <v>20704</v>
      </c>
      <c r="H29" s="37"/>
    </row>
    <row r="30" spans="3:8" ht="12.75">
      <c r="C30" s="19"/>
      <c r="D30" s="37"/>
      <c r="E30" s="19"/>
      <c r="F30" s="19"/>
      <c r="G30" s="37"/>
      <c r="H30" s="37"/>
    </row>
    <row r="31" spans="2:8" ht="12.75">
      <c r="B31" s="17" t="s">
        <v>43</v>
      </c>
      <c r="C31" s="19">
        <f>+F31+5420</f>
        <v>-2958</v>
      </c>
      <c r="D31" s="37">
        <f>+G31--4622</f>
        <v>-2740</v>
      </c>
      <c r="E31" s="19"/>
      <c r="F31" s="19">
        <v>-8378</v>
      </c>
      <c r="G31" s="37">
        <v>-7362</v>
      </c>
      <c r="H31" s="37"/>
    </row>
    <row r="32" spans="3:8" ht="12.75">
      <c r="C32" s="19"/>
      <c r="D32" s="37"/>
      <c r="E32" s="19"/>
      <c r="F32" s="19"/>
      <c r="G32" s="37"/>
      <c r="H32" s="37"/>
    </row>
    <row r="33" spans="2:8" ht="12.75">
      <c r="B33" s="39" t="s">
        <v>149</v>
      </c>
      <c r="C33" s="21">
        <f>+F33+1628</f>
        <v>2210</v>
      </c>
      <c r="D33" s="40">
        <f>+G33--1325</f>
        <v>-267</v>
      </c>
      <c r="E33" s="19"/>
      <c r="F33" s="21">
        <f>-1442-F37</f>
        <v>582</v>
      </c>
      <c r="G33" s="40">
        <f>-1994-65-G37</f>
        <v>-1592</v>
      </c>
      <c r="H33" s="37"/>
    </row>
    <row r="34" spans="3:8" ht="12.75">
      <c r="C34" s="20"/>
      <c r="D34" s="16"/>
      <c r="E34" s="19"/>
      <c r="F34" s="20"/>
      <c r="G34" s="16"/>
      <c r="H34" s="37"/>
    </row>
    <row r="35" spans="3:8" ht="12.75">
      <c r="C35" s="20">
        <f>+C29+C31+C33</f>
        <v>3896</v>
      </c>
      <c r="D35" s="20">
        <f>+D29+D31+D33</f>
        <v>39208</v>
      </c>
      <c r="E35" s="19"/>
      <c r="F35" s="20">
        <f>+F29+F31+F33</f>
        <v>6156</v>
      </c>
      <c r="G35" s="20">
        <f>+G29+G31+G33</f>
        <v>11750</v>
      </c>
      <c r="H35" s="37"/>
    </row>
    <row r="36" spans="2:8" ht="12.75">
      <c r="B36" s="17" t="s">
        <v>169</v>
      </c>
      <c r="C36" s="20"/>
      <c r="D36" s="16"/>
      <c r="E36" s="19"/>
      <c r="F36" s="20"/>
      <c r="G36" s="16"/>
      <c r="H36" s="37"/>
    </row>
    <row r="37" spans="2:8" ht="25.5">
      <c r="B37" s="18" t="s">
        <v>167</v>
      </c>
      <c r="C37" s="21">
        <f>+F37-0</f>
        <v>-2024</v>
      </c>
      <c r="D37" s="21">
        <f>+G37-0</f>
        <v>-467</v>
      </c>
      <c r="E37" s="19"/>
      <c r="F37" s="21">
        <f>-2024</f>
        <v>-2024</v>
      </c>
      <c r="G37" s="40">
        <v>-467</v>
      </c>
      <c r="H37" s="37"/>
    </row>
    <row r="38" spans="3:8" ht="12.75">
      <c r="C38" s="20"/>
      <c r="D38" s="16"/>
      <c r="E38" s="19"/>
      <c r="F38" s="20"/>
      <c r="G38" s="16"/>
      <c r="H38" s="37"/>
    </row>
    <row r="39" spans="2:8" ht="12.75">
      <c r="B39" s="5" t="s">
        <v>155</v>
      </c>
      <c r="C39" s="19">
        <f>+C35+C37</f>
        <v>1872</v>
      </c>
      <c r="D39" s="19">
        <f>+D35+D37</f>
        <v>38741</v>
      </c>
      <c r="E39" s="19"/>
      <c r="F39" s="19">
        <f>+F35+F37</f>
        <v>4132</v>
      </c>
      <c r="G39" s="19">
        <f>+G35+G37</f>
        <v>11283</v>
      </c>
      <c r="H39" s="37"/>
    </row>
    <row r="40" spans="3:8" ht="12.75">
      <c r="C40" s="19"/>
      <c r="D40" s="37"/>
      <c r="E40" s="19"/>
      <c r="F40" s="19"/>
      <c r="G40" s="37"/>
      <c r="H40" s="37"/>
    </row>
    <row r="41" spans="2:8" ht="12.75">
      <c r="B41" s="17" t="s">
        <v>44</v>
      </c>
      <c r="C41" s="21">
        <f>+F41+2473</f>
        <v>31</v>
      </c>
      <c r="D41" s="40">
        <f>+G41-4526</f>
        <v>-3057</v>
      </c>
      <c r="E41" s="19"/>
      <c r="F41" s="21">
        <v>-2442</v>
      </c>
      <c r="G41" s="40">
        <f>1676-207</f>
        <v>1469</v>
      </c>
      <c r="H41" s="37"/>
    </row>
    <row r="42" spans="3:8" ht="12.75">
      <c r="C42" s="20"/>
      <c r="D42" s="41"/>
      <c r="E42" s="19"/>
      <c r="F42" s="75"/>
      <c r="G42" s="42"/>
      <c r="H42" s="37"/>
    </row>
    <row r="43" spans="2:8" ht="13.5" thickBot="1">
      <c r="B43" s="43" t="s">
        <v>157</v>
      </c>
      <c r="C43" s="35">
        <f>+C39+C41</f>
        <v>1903</v>
      </c>
      <c r="D43" s="35">
        <f>+D39+D41</f>
        <v>35684</v>
      </c>
      <c r="E43" s="19"/>
      <c r="F43" s="35">
        <f>+F39+F41</f>
        <v>1690</v>
      </c>
      <c r="G43" s="35">
        <f>+G39+G41</f>
        <v>12752</v>
      </c>
      <c r="H43" s="37"/>
    </row>
    <row r="44" spans="3:8" ht="13.5" thickTop="1">
      <c r="C44" s="37"/>
      <c r="D44" s="37"/>
      <c r="E44" s="19"/>
      <c r="F44" s="37"/>
      <c r="G44" s="37"/>
      <c r="H44" s="37"/>
    </row>
    <row r="45" spans="2:8" ht="12.75">
      <c r="B45" s="5" t="s">
        <v>99</v>
      </c>
      <c r="C45" s="37"/>
      <c r="D45" s="37"/>
      <c r="E45" s="19"/>
      <c r="F45" s="37"/>
      <c r="G45" s="37"/>
      <c r="H45" s="37"/>
    </row>
    <row r="46" spans="3:8" ht="12.75">
      <c r="C46" s="37"/>
      <c r="D46" s="37"/>
      <c r="E46" s="19"/>
      <c r="F46" s="37"/>
      <c r="G46" s="37"/>
      <c r="H46" s="37"/>
    </row>
    <row r="47" spans="2:8" ht="12.75">
      <c r="B47" s="17" t="s">
        <v>100</v>
      </c>
      <c r="C47" s="37">
        <f>+F47-50</f>
        <v>2217</v>
      </c>
      <c r="D47" s="37">
        <f>+D49-D48</f>
        <v>35237</v>
      </c>
      <c r="E47" s="19"/>
      <c r="F47" s="37">
        <f>+F49-F48</f>
        <v>2267</v>
      </c>
      <c r="G47" s="37">
        <f>+G49-G48</f>
        <v>12376</v>
      </c>
      <c r="H47" s="37"/>
    </row>
    <row r="48" spans="2:8" ht="12.75">
      <c r="B48" s="17" t="s">
        <v>101</v>
      </c>
      <c r="C48" s="37">
        <f>+F48+263</f>
        <v>-314</v>
      </c>
      <c r="D48" s="37">
        <f>+G48--71</f>
        <v>447</v>
      </c>
      <c r="E48" s="19"/>
      <c r="F48" s="37">
        <v>-577</v>
      </c>
      <c r="G48" s="37">
        <v>376</v>
      </c>
      <c r="H48" s="37"/>
    </row>
    <row r="49" spans="2:8" ht="13.5" thickBot="1">
      <c r="B49" s="43"/>
      <c r="C49" s="1">
        <f>SUM(C47:C48)</f>
        <v>1903</v>
      </c>
      <c r="D49" s="1">
        <f>+D43</f>
        <v>35684</v>
      </c>
      <c r="E49" s="19"/>
      <c r="F49" s="1">
        <f>F43</f>
        <v>1690</v>
      </c>
      <c r="G49" s="1">
        <f>+G43</f>
        <v>12752</v>
      </c>
      <c r="H49" s="19"/>
    </row>
    <row r="50" spans="2:8" ht="13.5" thickTop="1">
      <c r="B50" s="9"/>
      <c r="C50" s="44"/>
      <c r="D50" s="44"/>
      <c r="E50" s="44"/>
      <c r="F50" s="78">
        <f>F43-F49</f>
        <v>0</v>
      </c>
      <c r="G50" s="78">
        <f>G43-G49</f>
        <v>0</v>
      </c>
      <c r="H50" s="19"/>
    </row>
    <row r="51" spans="2:8" ht="12.75">
      <c r="B51" s="87" t="s">
        <v>158</v>
      </c>
      <c r="C51" s="44"/>
      <c r="D51" s="44"/>
      <c r="E51" s="44"/>
      <c r="F51" s="44"/>
      <c r="G51" s="44"/>
      <c r="H51" s="19"/>
    </row>
    <row r="52" spans="2:8" ht="12.75">
      <c r="B52" s="87"/>
      <c r="C52" s="44"/>
      <c r="D52" s="44"/>
      <c r="E52" s="44"/>
      <c r="F52" s="44"/>
      <c r="G52" s="44"/>
      <c r="H52" s="19"/>
    </row>
    <row r="53" spans="2:8" ht="12.75">
      <c r="B53" s="87"/>
      <c r="C53" s="44"/>
      <c r="D53" s="44"/>
      <c r="E53" s="44"/>
      <c r="F53" s="44"/>
      <c r="G53" s="44"/>
      <c r="H53" s="19"/>
    </row>
    <row r="54" spans="2:8" ht="13.5" thickBot="1">
      <c r="B54" s="45" t="s">
        <v>165</v>
      </c>
      <c r="C54" s="23">
        <f>C47/'Condensed Balance Sheet'!C87*100</f>
        <v>0.7284280804589393</v>
      </c>
      <c r="D54" s="80">
        <f>D47/('Condensed Balance Sheet'!E87*2)*100</f>
        <v>11.577636567943909</v>
      </c>
      <c r="E54" s="19"/>
      <c r="F54" s="23">
        <f>F47/'Condensed Balance Sheet'!C87*100</f>
        <v>0.744856318628965</v>
      </c>
      <c r="G54" s="80">
        <f>G47/('Condensed Balance Sheet'!E87*2)*100</f>
        <v>4.066317511844759</v>
      </c>
      <c r="H54" s="19"/>
    </row>
    <row r="55" spans="2:8" ht="13.5" thickTop="1">
      <c r="B55" s="38"/>
      <c r="C55" s="22"/>
      <c r="D55" s="22"/>
      <c r="E55" s="19"/>
      <c r="F55" s="22"/>
      <c r="G55" s="22"/>
      <c r="H55" s="19"/>
    </row>
    <row r="56" spans="2:8" ht="12.75">
      <c r="B56" s="38"/>
      <c r="C56" s="22"/>
      <c r="D56" s="22"/>
      <c r="E56" s="19"/>
      <c r="F56" s="22"/>
      <c r="G56" s="22"/>
      <c r="H56" s="19"/>
    </row>
    <row r="57" spans="2:8" ht="12.75">
      <c r="B57" s="38"/>
      <c r="C57" s="22"/>
      <c r="D57" s="22"/>
      <c r="E57" s="19"/>
      <c r="F57" s="22"/>
      <c r="G57" s="22"/>
      <c r="H57" s="19"/>
    </row>
    <row r="58" spans="2:8" ht="12.75">
      <c r="B58" s="88" t="s">
        <v>109</v>
      </c>
      <c r="C58" s="88"/>
      <c r="D58" s="88"/>
      <c r="E58" s="88"/>
      <c r="F58" s="88"/>
      <c r="G58" s="88"/>
      <c r="H58" s="19"/>
    </row>
    <row r="59" spans="2:8" ht="12.75">
      <c r="B59" s="84"/>
      <c r="C59" s="84"/>
      <c r="D59" s="84"/>
      <c r="E59" s="84"/>
      <c r="F59" s="84"/>
      <c r="G59" s="84"/>
      <c r="H59" s="19"/>
    </row>
    <row r="60" spans="2:8" ht="12.75">
      <c r="B60" s="38"/>
      <c r="C60" s="22"/>
      <c r="D60" s="22"/>
      <c r="E60" s="19"/>
      <c r="F60" s="46"/>
      <c r="G60" s="46"/>
      <c r="H60" s="19"/>
    </row>
    <row r="61" spans="2:8" ht="12.75">
      <c r="B61" s="83" t="s">
        <v>133</v>
      </c>
      <c r="C61" s="83"/>
      <c r="D61" s="83"/>
      <c r="E61" s="83"/>
      <c r="F61" s="84"/>
      <c r="G61" s="84"/>
      <c r="H61" s="19"/>
    </row>
    <row r="62" spans="2:8" ht="12.75">
      <c r="B62" s="83"/>
      <c r="C62" s="83"/>
      <c r="D62" s="83"/>
      <c r="E62" s="83"/>
      <c r="F62" s="84"/>
      <c r="G62" s="84"/>
      <c r="H62" s="37"/>
    </row>
    <row r="63" spans="2:8" ht="12.75">
      <c r="B63" s="25"/>
      <c r="C63" s="25"/>
      <c r="D63" s="25"/>
      <c r="E63" s="25"/>
      <c r="F63" s="37"/>
      <c r="G63" s="37"/>
      <c r="H63" s="37"/>
    </row>
    <row r="64" spans="2:8" ht="12.75">
      <c r="B64" s="5" t="s">
        <v>50</v>
      </c>
      <c r="C64" s="19"/>
      <c r="D64" s="37"/>
      <c r="E64" s="19"/>
      <c r="F64" s="37"/>
      <c r="G64" s="37"/>
      <c r="H64" s="37"/>
    </row>
    <row r="65" spans="3:8" ht="12.75">
      <c r="C65" s="19"/>
      <c r="D65" s="37"/>
      <c r="E65" s="19"/>
      <c r="F65" s="37"/>
      <c r="G65" s="37"/>
      <c r="H65" s="37"/>
    </row>
    <row r="66" spans="3:8" ht="12.75">
      <c r="C66" s="19"/>
      <c r="D66" s="19"/>
      <c r="E66" s="19"/>
      <c r="F66" s="37"/>
      <c r="G66" s="19"/>
      <c r="H66" s="19"/>
    </row>
    <row r="67" spans="3:8" ht="12.75">
      <c r="C67" s="19"/>
      <c r="D67" s="19"/>
      <c r="E67" s="19"/>
      <c r="F67" s="37"/>
      <c r="G67" s="19"/>
      <c r="H67" s="19"/>
    </row>
    <row r="68" spans="3:6" ht="12.75">
      <c r="C68" s="19"/>
      <c r="D68" s="19"/>
      <c r="E68" s="19"/>
      <c r="F68" s="37"/>
    </row>
    <row r="69" spans="3:6" ht="12.75">
      <c r="C69" s="19"/>
      <c r="D69" s="19"/>
      <c r="E69" s="19"/>
      <c r="F69" s="37"/>
    </row>
    <row r="70" spans="3:6" ht="12.75">
      <c r="C70" s="19"/>
      <c r="D70" s="19"/>
      <c r="E70" s="19"/>
      <c r="F70" s="37"/>
    </row>
  </sheetData>
  <mergeCells count="7">
    <mergeCell ref="B61:G62"/>
    <mergeCell ref="B4:G5"/>
    <mergeCell ref="C9:D9"/>
    <mergeCell ref="F9:G9"/>
    <mergeCell ref="B23:B24"/>
    <mergeCell ref="B51:B53"/>
    <mergeCell ref="B58:G59"/>
  </mergeCells>
  <printOptions/>
  <pageMargins left="0.5" right="0.5" top="0.5" bottom="0.5" header="0.5" footer="0.5"/>
  <pageSetup fitToHeight="1" fitToWidth="1" horizontalDpi="300" verticalDpi="3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2:H47"/>
  <sheetViews>
    <sheetView zoomScale="80" zoomScaleNormal="80" workbookViewId="0" topLeftCell="A23">
      <selection activeCell="B47" sqref="B47"/>
    </sheetView>
  </sheetViews>
  <sheetFormatPr defaultColWidth="9.140625" defaultRowHeight="12.75"/>
  <cols>
    <col min="1" max="1" width="7.7109375" style="17" customWidth="1"/>
    <col min="2" max="2" width="42.57421875" style="17" customWidth="1"/>
    <col min="3" max="4" width="14.57421875" style="17" customWidth="1"/>
    <col min="5" max="5" width="1.7109375" style="17" customWidth="1"/>
    <col min="6" max="7" width="14.57421875" style="17" customWidth="1"/>
    <col min="8" max="8" width="7.57421875" style="17" customWidth="1"/>
    <col min="9" max="56" width="16.140625" style="17" customWidth="1"/>
    <col min="57" max="16384" width="3.57421875" style="17" customWidth="1"/>
  </cols>
  <sheetData>
    <row r="2" spans="1:7" ht="12.75">
      <c r="A2" s="5"/>
      <c r="B2" s="5" t="s">
        <v>0</v>
      </c>
      <c r="C2" s="5"/>
      <c r="D2" s="5"/>
      <c r="E2" s="5"/>
      <c r="F2" s="5"/>
      <c r="G2" s="5"/>
    </row>
    <row r="3" spans="1:7" ht="12.75">
      <c r="A3" s="5"/>
      <c r="B3" s="5"/>
      <c r="C3" s="5"/>
      <c r="D3" s="5"/>
      <c r="E3" s="5"/>
      <c r="F3" s="5"/>
      <c r="G3" s="5"/>
    </row>
    <row r="4" spans="1:7" ht="12.75" customHeight="1">
      <c r="A4" s="5"/>
      <c r="B4" s="85" t="s">
        <v>140</v>
      </c>
      <c r="C4" s="85"/>
      <c r="D4" s="85"/>
      <c r="E4" s="85"/>
      <c r="F4" s="85"/>
      <c r="G4" s="85"/>
    </row>
    <row r="5" spans="1:7" ht="12.75">
      <c r="A5" s="5"/>
      <c r="B5" s="85"/>
      <c r="C5" s="85"/>
      <c r="D5" s="85"/>
      <c r="E5" s="85"/>
      <c r="F5" s="85"/>
      <c r="G5" s="85"/>
    </row>
    <row r="6" spans="1:7" ht="12.75">
      <c r="A6" s="5"/>
      <c r="B6" s="47"/>
      <c r="C6" s="47"/>
      <c r="D6" s="47"/>
      <c r="E6" s="47"/>
      <c r="F6" s="47"/>
      <c r="G6" s="47"/>
    </row>
    <row r="7" spans="1:7" ht="12.75">
      <c r="A7" s="5"/>
      <c r="B7" s="5" t="s">
        <v>82</v>
      </c>
      <c r="C7" s="33"/>
      <c r="D7" s="33"/>
      <c r="E7" s="5"/>
      <c r="F7" s="5"/>
      <c r="G7" s="5"/>
    </row>
    <row r="8" spans="1:7" ht="12.75">
      <c r="A8" s="5"/>
      <c r="B8" s="5"/>
      <c r="C8" s="5"/>
      <c r="D8" s="5"/>
      <c r="E8" s="5"/>
      <c r="F8" s="7"/>
      <c r="G8" s="5"/>
    </row>
    <row r="9" spans="1:7" ht="12.75">
      <c r="A9" s="5"/>
      <c r="B9" s="5"/>
      <c r="C9" s="86" t="s">
        <v>34</v>
      </c>
      <c r="D9" s="86"/>
      <c r="E9" s="11"/>
      <c r="F9" s="86" t="s">
        <v>142</v>
      </c>
      <c r="G9" s="86"/>
    </row>
    <row r="10" spans="1:7" ht="13.5" thickBot="1">
      <c r="A10" s="7"/>
      <c r="B10" s="7"/>
      <c r="C10" s="14" t="s">
        <v>139</v>
      </c>
      <c r="D10" s="14" t="s">
        <v>141</v>
      </c>
      <c r="E10" s="11"/>
      <c r="F10" s="14" t="str">
        <f>C10</f>
        <v>30.09.2006</v>
      </c>
      <c r="G10" s="14" t="str">
        <f>D10</f>
        <v>30.09.2005</v>
      </c>
    </row>
    <row r="11" spans="1:7" ht="12.75">
      <c r="A11" s="7"/>
      <c r="B11" s="7"/>
      <c r="C11" s="12"/>
      <c r="D11" s="12"/>
      <c r="E11" s="11"/>
      <c r="F11" s="12"/>
      <c r="G11" s="13"/>
    </row>
    <row r="12" spans="1:7" ht="12.75">
      <c r="A12" s="7"/>
      <c r="C12" s="34" t="s">
        <v>8</v>
      </c>
      <c r="D12" s="34" t="str">
        <f>+C12</f>
        <v>RM'000</v>
      </c>
      <c r="F12" s="34" t="str">
        <f>+D12</f>
        <v>RM'000</v>
      </c>
      <c r="G12" s="34" t="str">
        <f>+F12</f>
        <v>RM'000</v>
      </c>
    </row>
    <row r="13" spans="1:7" ht="12.75">
      <c r="A13" s="7"/>
      <c r="C13" s="34"/>
      <c r="D13" s="34"/>
      <c r="F13" s="34"/>
      <c r="G13" s="34"/>
    </row>
    <row r="14" spans="1:8" ht="12.75">
      <c r="A14" s="7"/>
      <c r="B14" s="17" t="s">
        <v>35</v>
      </c>
      <c r="C14" s="20">
        <f>+F14-218320</f>
        <v>109879</v>
      </c>
      <c r="D14" s="16">
        <f>+G14-230914</f>
        <v>95833</v>
      </c>
      <c r="E14" s="19"/>
      <c r="F14" s="20">
        <v>328199</v>
      </c>
      <c r="G14" s="16">
        <v>326747</v>
      </c>
      <c r="H14" s="48"/>
    </row>
    <row r="15" spans="1:7" ht="12.75">
      <c r="A15" s="7"/>
      <c r="B15" s="17" t="s">
        <v>36</v>
      </c>
      <c r="C15" s="21">
        <f>+F15+56109</f>
        <v>-27050</v>
      </c>
      <c r="D15" s="40">
        <f>+G15--77332</f>
        <v>-15269</v>
      </c>
      <c r="E15" s="20"/>
      <c r="F15" s="21">
        <v>-83159</v>
      </c>
      <c r="G15" s="40">
        <v>-92601</v>
      </c>
    </row>
    <row r="16" spans="3:7" ht="12.75">
      <c r="C16" s="20"/>
      <c r="D16" s="16"/>
      <c r="E16" s="20"/>
      <c r="F16" s="20"/>
      <c r="G16" s="16"/>
    </row>
    <row r="17" spans="2:7" ht="12.75">
      <c r="B17" s="17" t="s">
        <v>37</v>
      </c>
      <c r="C17" s="19">
        <f>+C14+C15</f>
        <v>82829</v>
      </c>
      <c r="D17" s="19">
        <f>+D14+D15</f>
        <v>80564</v>
      </c>
      <c r="E17" s="19"/>
      <c r="F17" s="19">
        <f>+F14+F15</f>
        <v>245040</v>
      </c>
      <c r="G17" s="19">
        <f>+G14+G15</f>
        <v>234146</v>
      </c>
    </row>
    <row r="18" spans="2:7" ht="12.75">
      <c r="B18" s="38"/>
      <c r="C18" s="19"/>
      <c r="D18" s="37"/>
      <c r="E18" s="19"/>
      <c r="F18" s="19"/>
      <c r="G18" s="37"/>
    </row>
    <row r="19" spans="2:7" ht="25.5">
      <c r="B19" s="18" t="s">
        <v>166</v>
      </c>
      <c r="C19" s="21">
        <f>+F19-2901</f>
        <v>157</v>
      </c>
      <c r="D19" s="40">
        <f>G19--5135</f>
        <v>-2157</v>
      </c>
      <c r="E19" s="19"/>
      <c r="F19" s="21">
        <v>3058</v>
      </c>
      <c r="G19" s="40">
        <v>-7292</v>
      </c>
    </row>
    <row r="20" spans="3:7" ht="12.75">
      <c r="C20" s="20"/>
      <c r="D20" s="16"/>
      <c r="E20" s="19"/>
      <c r="F20" s="20"/>
      <c r="G20" s="16"/>
    </row>
    <row r="21" spans="2:7" ht="12.75">
      <c r="B21" s="17" t="s">
        <v>45</v>
      </c>
      <c r="C21" s="19">
        <f>+C17+C19</f>
        <v>82986</v>
      </c>
      <c r="D21" s="19">
        <f>+D17+D19</f>
        <v>78407</v>
      </c>
      <c r="E21" s="19"/>
      <c r="F21" s="19">
        <f>+F17+F19</f>
        <v>248098</v>
      </c>
      <c r="G21" s="19">
        <f>+G17+G19</f>
        <v>226854</v>
      </c>
    </row>
    <row r="22" spans="3:7" ht="12.75">
      <c r="C22" s="19"/>
      <c r="D22" s="37"/>
      <c r="E22" s="19"/>
      <c r="F22" s="48"/>
      <c r="G22" s="48"/>
    </row>
    <row r="23" spans="2:7" ht="12.75">
      <c r="B23" s="26" t="s">
        <v>46</v>
      </c>
      <c r="C23" s="20">
        <f>+F23+99741</f>
        <v>-55842</v>
      </c>
      <c r="D23" s="37">
        <f>+G23--94152</f>
        <v>-50475</v>
      </c>
      <c r="E23" s="19"/>
      <c r="F23" s="19">
        <v>-155583</v>
      </c>
      <c r="G23" s="37">
        <v>-144627</v>
      </c>
    </row>
    <row r="24" spans="2:7" ht="12.75">
      <c r="B24" s="17" t="s">
        <v>47</v>
      </c>
      <c r="C24" s="21">
        <f>+F24+15297</f>
        <v>-10278</v>
      </c>
      <c r="D24" s="40">
        <f>+G24--14205</f>
        <v>-9012</v>
      </c>
      <c r="E24" s="19"/>
      <c r="F24" s="21">
        <v>-25575</v>
      </c>
      <c r="G24" s="40">
        <v>-23217</v>
      </c>
    </row>
    <row r="25" spans="3:7" ht="12.75">
      <c r="C25" s="20"/>
      <c r="D25" s="16"/>
      <c r="E25" s="20"/>
      <c r="F25" s="20"/>
      <c r="G25" s="16"/>
    </row>
    <row r="26" spans="2:7" ht="12.75">
      <c r="B26" s="18" t="s">
        <v>83</v>
      </c>
      <c r="C26" s="20">
        <f>+C21+C23+C24</f>
        <v>16866</v>
      </c>
      <c r="D26" s="20">
        <f>+D21+D23+D24</f>
        <v>18920</v>
      </c>
      <c r="E26" s="20"/>
      <c r="F26" s="20">
        <f>+F21+F23+F24</f>
        <v>66940</v>
      </c>
      <c r="G26" s="20">
        <f>+G21+G23+G24</f>
        <v>59010</v>
      </c>
    </row>
    <row r="27" spans="3:7" ht="12.75">
      <c r="C27" s="20"/>
      <c r="D27" s="16"/>
      <c r="E27" s="20"/>
      <c r="F27" s="20"/>
      <c r="G27" s="16"/>
    </row>
    <row r="28" spans="2:7" ht="12.75">
      <c r="B28" s="17" t="s">
        <v>40</v>
      </c>
      <c r="C28" s="21">
        <f>+F28+43802</f>
        <v>-19726</v>
      </c>
      <c r="D28" s="40">
        <f>+G28--40390</f>
        <v>-18694</v>
      </c>
      <c r="E28" s="20"/>
      <c r="F28" s="21">
        <v>-63528</v>
      </c>
      <c r="G28" s="40">
        <v>-59084</v>
      </c>
    </row>
    <row r="29" spans="1:7" ht="12.75">
      <c r="A29" s="5"/>
      <c r="C29" s="20"/>
      <c r="D29" s="16"/>
      <c r="E29" s="20"/>
      <c r="F29" s="20"/>
      <c r="G29" s="16"/>
    </row>
    <row r="30" spans="2:7" ht="12.75">
      <c r="B30" s="18" t="s">
        <v>134</v>
      </c>
      <c r="C30" s="16">
        <f>+C26+C28</f>
        <v>-2860</v>
      </c>
      <c r="D30" s="16">
        <f>+D26+D28</f>
        <v>226</v>
      </c>
      <c r="E30" s="20"/>
      <c r="F30" s="16">
        <f>+F26+F28</f>
        <v>3412</v>
      </c>
      <c r="G30" s="16">
        <f>+G26+G28</f>
        <v>-74</v>
      </c>
    </row>
    <row r="31" spans="3:7" ht="12.75">
      <c r="C31" s="16"/>
      <c r="D31" s="16"/>
      <c r="E31" s="20"/>
      <c r="F31" s="16"/>
      <c r="G31" s="16"/>
    </row>
    <row r="32" spans="2:7" ht="12.75">
      <c r="B32" s="17" t="s">
        <v>41</v>
      </c>
      <c r="C32" s="20">
        <f>+F32-8783</f>
        <v>5339</v>
      </c>
      <c r="D32" s="20">
        <f>+G32-6337</f>
        <v>5599</v>
      </c>
      <c r="E32" s="20"/>
      <c r="F32" s="20">
        <v>14122</v>
      </c>
      <c r="G32" s="20">
        <v>11936</v>
      </c>
    </row>
    <row r="33" spans="2:7" ht="12.75">
      <c r="B33" s="9" t="s">
        <v>159</v>
      </c>
      <c r="C33" s="21">
        <f>+F33-3002</f>
        <v>-3292</v>
      </c>
      <c r="D33" s="21">
        <f>+G33-(-23108+915)</f>
        <v>-336</v>
      </c>
      <c r="E33" s="20"/>
      <c r="F33" s="21">
        <v>-290</v>
      </c>
      <c r="G33" s="21">
        <f>-23916+1387</f>
        <v>-22529</v>
      </c>
    </row>
    <row r="34" spans="2:7" ht="12.75">
      <c r="B34" s="9"/>
      <c r="C34" s="20"/>
      <c r="D34" s="20"/>
      <c r="E34" s="20"/>
      <c r="F34" s="20"/>
      <c r="G34" s="20"/>
    </row>
    <row r="35" spans="2:7" ht="26.25" thickBot="1">
      <c r="B35" s="43" t="s">
        <v>120</v>
      </c>
      <c r="C35" s="36">
        <f>SUM(C30+C32+C33)</f>
        <v>-813</v>
      </c>
      <c r="D35" s="36">
        <f>SUM(D30+D32+D33)</f>
        <v>5489</v>
      </c>
      <c r="E35" s="20"/>
      <c r="F35" s="36">
        <f>SUM(F30+F32+F33)</f>
        <v>17244</v>
      </c>
      <c r="G35" s="36">
        <f>SUM(G30+G32+G33)</f>
        <v>-10667</v>
      </c>
    </row>
    <row r="36" spans="2:7" ht="13.5" thickTop="1">
      <c r="B36" s="49"/>
      <c r="C36" s="16"/>
      <c r="D36" s="16"/>
      <c r="E36" s="20"/>
      <c r="F36" s="16"/>
      <c r="G36" s="16"/>
    </row>
    <row r="37" spans="2:7" ht="12.75">
      <c r="B37" s="34"/>
      <c r="C37" s="20"/>
      <c r="D37" s="50"/>
      <c r="E37" s="28"/>
      <c r="F37" s="20"/>
      <c r="G37" s="28"/>
    </row>
    <row r="38" spans="2:7" ht="12.75">
      <c r="B38" s="88" t="s">
        <v>102</v>
      </c>
      <c r="C38" s="84"/>
      <c r="D38" s="84"/>
      <c r="E38" s="84"/>
      <c r="F38" s="84"/>
      <c r="G38" s="84"/>
    </row>
    <row r="39" spans="2:7" ht="12.75">
      <c r="B39" s="84"/>
      <c r="C39" s="84"/>
      <c r="D39" s="84"/>
      <c r="E39" s="84"/>
      <c r="F39" s="84"/>
      <c r="G39" s="84"/>
    </row>
    <row r="40" spans="3:7" ht="12.75">
      <c r="C40" s="28"/>
      <c r="D40" s="28"/>
      <c r="E40" s="28"/>
      <c r="F40" s="28"/>
      <c r="G40" s="28"/>
    </row>
    <row r="41" spans="3:7" ht="12.75">
      <c r="C41" s="28"/>
      <c r="D41" s="28"/>
      <c r="E41" s="28"/>
      <c r="F41" s="28"/>
      <c r="G41" s="28"/>
    </row>
    <row r="42" spans="3:7" ht="12.75">
      <c r="C42" s="28"/>
      <c r="D42" s="28"/>
      <c r="E42" s="28"/>
      <c r="F42" s="28"/>
      <c r="G42" s="28"/>
    </row>
    <row r="43" spans="3:7" ht="12.75">
      <c r="C43" s="28"/>
      <c r="D43" s="28"/>
      <c r="E43" s="28"/>
      <c r="F43" s="28"/>
      <c r="G43" s="28"/>
    </row>
    <row r="44" spans="3:7" ht="12.75">
      <c r="C44" s="28"/>
      <c r="D44" s="28"/>
      <c r="E44" s="28"/>
      <c r="F44" s="28"/>
      <c r="G44" s="28"/>
    </row>
    <row r="45" spans="3:7" ht="12.75">
      <c r="C45" s="28"/>
      <c r="D45" s="28"/>
      <c r="E45" s="28"/>
      <c r="F45" s="28"/>
      <c r="G45" s="28"/>
    </row>
    <row r="46" spans="3:7" ht="12.75">
      <c r="C46" s="28"/>
      <c r="D46" s="28"/>
      <c r="E46" s="28"/>
      <c r="F46" s="28"/>
      <c r="G46" s="28"/>
    </row>
    <row r="47" spans="3:7" ht="12.75">
      <c r="C47" s="28"/>
      <c r="D47" s="28"/>
      <c r="E47" s="28"/>
      <c r="F47" s="28"/>
      <c r="G47" s="28"/>
    </row>
  </sheetData>
  <mergeCells count="4">
    <mergeCell ref="B38:G39"/>
    <mergeCell ref="B4:G5"/>
    <mergeCell ref="C9:D9"/>
    <mergeCell ref="F9:G9"/>
  </mergeCells>
  <printOptions/>
  <pageMargins left="0.5" right="0.5" top="0.5" bottom="0.5" header="0.5" footer="0.5"/>
  <pageSetup fitToHeight="1" fitToWidth="1" horizontalDpi="300" verticalDpi="300" orientation="portrait"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B2:G56"/>
  <sheetViews>
    <sheetView zoomScale="80" zoomScaleNormal="80" zoomScaleSheetLayoutView="80" workbookViewId="0" topLeftCell="A16">
      <selection activeCell="C40" sqref="C40"/>
    </sheetView>
  </sheetViews>
  <sheetFormatPr defaultColWidth="9.140625" defaultRowHeight="12.75"/>
  <cols>
    <col min="1" max="1" width="7.7109375" style="17" customWidth="1"/>
    <col min="2" max="2" width="55.8515625" style="17" customWidth="1"/>
    <col min="3" max="3" width="17.7109375" style="69" customWidth="1"/>
    <col min="4" max="4" width="1.57421875" style="28" customWidth="1"/>
    <col min="5" max="5" width="17.57421875" style="17" customWidth="1"/>
    <col min="6" max="6" width="7.57421875" style="17" customWidth="1"/>
    <col min="7" max="7" width="11.28125" style="19" bestFit="1" customWidth="1"/>
    <col min="8" max="8" width="9.421875" style="17" customWidth="1"/>
    <col min="9" max="16384" width="9.140625" style="17" customWidth="1"/>
  </cols>
  <sheetData>
    <row r="2" ht="12.75">
      <c r="B2" s="5" t="s">
        <v>0</v>
      </c>
    </row>
    <row r="3" ht="12.75">
      <c r="B3" s="5"/>
    </row>
    <row r="4" spans="2:7" ht="12.75" customHeight="1">
      <c r="B4" s="81" t="s">
        <v>138</v>
      </c>
      <c r="C4" s="82"/>
      <c r="D4" s="82"/>
      <c r="E4" s="82"/>
      <c r="F4" s="47"/>
      <c r="G4" s="51"/>
    </row>
    <row r="5" spans="2:7" ht="12.75">
      <c r="B5" s="82"/>
      <c r="C5" s="82"/>
      <c r="D5" s="82"/>
      <c r="E5" s="82"/>
      <c r="F5" s="47"/>
      <c r="G5" s="51"/>
    </row>
    <row r="6" ht="12.75">
      <c r="B6" s="5"/>
    </row>
    <row r="7" ht="12.75">
      <c r="B7" s="5" t="s">
        <v>1</v>
      </c>
    </row>
    <row r="9" spans="3:5" ht="12.75">
      <c r="C9" s="11" t="s">
        <v>2</v>
      </c>
      <c r="D9" s="12"/>
      <c r="E9" s="11" t="s">
        <v>2</v>
      </c>
    </row>
    <row r="10" spans="3:5" ht="12.75">
      <c r="C10" s="11" t="s">
        <v>3</v>
      </c>
      <c r="D10" s="12"/>
      <c r="E10" s="11" t="s">
        <v>5</v>
      </c>
    </row>
    <row r="11" spans="3:5" ht="12.75">
      <c r="C11" s="11" t="s">
        <v>4</v>
      </c>
      <c r="D11" s="12"/>
      <c r="E11" s="11" t="s">
        <v>23</v>
      </c>
    </row>
    <row r="12" spans="3:5" ht="12.75">
      <c r="C12" s="11" t="s">
        <v>6</v>
      </c>
      <c r="D12" s="12"/>
      <c r="E12" s="11" t="s">
        <v>24</v>
      </c>
    </row>
    <row r="13" spans="3:5" ht="12.75">
      <c r="C13" s="11" t="s">
        <v>139</v>
      </c>
      <c r="D13" s="12"/>
      <c r="E13" s="11" t="s">
        <v>80</v>
      </c>
    </row>
    <row r="14" spans="3:5" ht="13.5" thickBot="1">
      <c r="C14" s="74"/>
      <c r="D14" s="13"/>
      <c r="E14" s="14" t="s">
        <v>7</v>
      </c>
    </row>
    <row r="15" spans="3:5" ht="12.75">
      <c r="C15" s="13" t="s">
        <v>8</v>
      </c>
      <c r="D15" s="13"/>
      <c r="E15" s="13" t="s">
        <v>8</v>
      </c>
    </row>
    <row r="16" spans="3:5" ht="12.75">
      <c r="C16" s="13"/>
      <c r="D16" s="13"/>
      <c r="E16" s="13"/>
    </row>
    <row r="17" spans="2:5" ht="12.75">
      <c r="B17" s="5" t="s">
        <v>9</v>
      </c>
      <c r="C17" s="31"/>
      <c r="D17" s="30"/>
      <c r="E17" s="31"/>
    </row>
    <row r="18" spans="2:5" ht="12.75">
      <c r="B18" s="5"/>
      <c r="C18" s="31"/>
      <c r="D18" s="30"/>
      <c r="E18" s="31"/>
    </row>
    <row r="19" spans="2:5" ht="12.75">
      <c r="B19" s="17" t="s">
        <v>10</v>
      </c>
      <c r="C19" s="19">
        <v>31489</v>
      </c>
      <c r="D19" s="20"/>
      <c r="E19" s="19">
        <v>32105</v>
      </c>
    </row>
    <row r="20" spans="2:5" ht="12.75">
      <c r="B20" s="17" t="s">
        <v>85</v>
      </c>
      <c r="C20" s="19">
        <v>1039803</v>
      </c>
      <c r="D20" s="20"/>
      <c r="E20" s="19">
        <v>961493</v>
      </c>
    </row>
    <row r="21" spans="2:5" ht="12.75">
      <c r="B21" s="17" t="s">
        <v>86</v>
      </c>
      <c r="C21" s="19"/>
      <c r="D21" s="20"/>
      <c r="E21" s="19"/>
    </row>
    <row r="22" spans="2:5" ht="12.75">
      <c r="B22" s="17" t="s">
        <v>87</v>
      </c>
      <c r="C22" s="19"/>
      <c r="D22" s="20"/>
      <c r="E22" s="19"/>
    </row>
    <row r="23" spans="2:5" ht="12.75">
      <c r="B23" s="17" t="s">
        <v>128</v>
      </c>
      <c r="C23" s="19">
        <v>582245</v>
      </c>
      <c r="D23" s="20"/>
      <c r="E23" s="19">
        <v>782926</v>
      </c>
    </row>
    <row r="24" spans="2:5" ht="12.75">
      <c r="B24" s="17" t="s">
        <v>129</v>
      </c>
      <c r="C24" s="19">
        <v>1199550</v>
      </c>
      <c r="D24" s="20"/>
      <c r="E24" s="19">
        <v>1259685</v>
      </c>
    </row>
    <row r="25" spans="2:5" ht="12.75">
      <c r="B25" s="17" t="s">
        <v>88</v>
      </c>
      <c r="C25" s="19">
        <v>606506</v>
      </c>
      <c r="D25" s="20"/>
      <c r="E25" s="19">
        <v>346734</v>
      </c>
    </row>
    <row r="26" spans="2:5" ht="12.75">
      <c r="B26" s="17" t="s">
        <v>130</v>
      </c>
      <c r="C26" s="19">
        <v>1077360</v>
      </c>
      <c r="D26" s="20"/>
      <c r="E26" s="19">
        <v>986401</v>
      </c>
    </row>
    <row r="27" spans="2:5" ht="12.75">
      <c r="B27" s="17" t="s">
        <v>89</v>
      </c>
      <c r="C27" s="19">
        <v>30983</v>
      </c>
      <c r="D27" s="20"/>
      <c r="E27" s="19">
        <v>46701</v>
      </c>
    </row>
    <row r="28" spans="2:5" ht="12.75">
      <c r="B28" s="17" t="s">
        <v>26</v>
      </c>
      <c r="C28" s="19">
        <v>14591</v>
      </c>
      <c r="D28" s="20"/>
      <c r="E28" s="19">
        <v>10994</v>
      </c>
    </row>
    <row r="29" spans="2:5" ht="12.75">
      <c r="B29" s="17" t="s">
        <v>70</v>
      </c>
      <c r="C29" s="19">
        <v>6161</v>
      </c>
      <c r="D29" s="20"/>
      <c r="E29" s="19">
        <v>9173</v>
      </c>
    </row>
    <row r="30" spans="2:5" ht="12.75">
      <c r="B30" s="17" t="s">
        <v>77</v>
      </c>
      <c r="C30" s="19">
        <v>802677</v>
      </c>
      <c r="D30" s="20"/>
      <c r="E30" s="19">
        <v>680872</v>
      </c>
    </row>
    <row r="31" spans="2:5" ht="12.75">
      <c r="B31" s="17" t="s">
        <v>11</v>
      </c>
      <c r="C31" s="20">
        <v>7886</v>
      </c>
      <c r="D31" s="20"/>
      <c r="E31" s="20">
        <v>27762</v>
      </c>
    </row>
    <row r="32" spans="2:5" ht="12.75">
      <c r="B32" s="17" t="s">
        <v>12</v>
      </c>
      <c r="C32" s="20">
        <v>418808</v>
      </c>
      <c r="D32" s="20"/>
      <c r="E32" s="20">
        <v>332823</v>
      </c>
    </row>
    <row r="33" spans="2:5" ht="21" customHeight="1" thickBot="1">
      <c r="B33" s="17" t="s">
        <v>13</v>
      </c>
      <c r="C33" s="1">
        <f>SUM(C19:C32)</f>
        <v>5818059</v>
      </c>
      <c r="D33" s="20"/>
      <c r="E33" s="1">
        <f>SUM(E19:E32)</f>
        <v>5477669</v>
      </c>
    </row>
    <row r="34" spans="3:6" ht="13.5" thickTop="1">
      <c r="C34" s="20"/>
      <c r="D34" s="20"/>
      <c r="E34" s="20"/>
      <c r="F34" s="28"/>
    </row>
    <row r="35" spans="2:6" ht="12.75">
      <c r="B35" s="5" t="s">
        <v>14</v>
      </c>
      <c r="C35" s="20"/>
      <c r="D35" s="20"/>
      <c r="E35" s="20"/>
      <c r="F35" s="28"/>
    </row>
    <row r="36" spans="3:6" ht="12.75">
      <c r="C36" s="20"/>
      <c r="D36" s="20"/>
      <c r="E36" s="20"/>
      <c r="F36" s="28"/>
    </row>
    <row r="37" spans="2:6" ht="12.75">
      <c r="B37" s="17" t="s">
        <v>15</v>
      </c>
      <c r="C37" s="20">
        <v>18155</v>
      </c>
      <c r="D37" s="20"/>
      <c r="E37" s="20">
        <v>14439</v>
      </c>
      <c r="F37" s="28"/>
    </row>
    <row r="38" spans="2:6" ht="12.75">
      <c r="B38" s="17" t="s">
        <v>16</v>
      </c>
      <c r="C38" s="20">
        <v>3919</v>
      </c>
      <c r="D38" s="20"/>
      <c r="E38" s="20">
        <v>5001</v>
      </c>
      <c r="F38" s="28"/>
    </row>
    <row r="39" spans="2:6" ht="12.75">
      <c r="B39" s="17" t="s">
        <v>90</v>
      </c>
      <c r="C39" s="20">
        <v>506943</v>
      </c>
      <c r="D39" s="20"/>
      <c r="E39" s="20">
        <v>414362</v>
      </c>
      <c r="F39" s="28"/>
    </row>
    <row r="40" spans="2:6" ht="12.75">
      <c r="B40" s="17" t="s">
        <v>132</v>
      </c>
      <c r="C40" s="20">
        <f>56662-1</f>
        <v>56661</v>
      </c>
      <c r="D40" s="20"/>
      <c r="E40" s="20">
        <v>90538</v>
      </c>
      <c r="F40" s="28"/>
    </row>
    <row r="41" spans="2:6" ht="12.75">
      <c r="B41" s="17" t="s">
        <v>17</v>
      </c>
      <c r="C41" s="20">
        <v>1111</v>
      </c>
      <c r="D41" s="20"/>
      <c r="E41" s="20">
        <v>149</v>
      </c>
      <c r="F41" s="28"/>
    </row>
    <row r="42" spans="2:6" ht="12.75">
      <c r="B42" s="17" t="s">
        <v>72</v>
      </c>
      <c r="C42" s="20">
        <v>4093</v>
      </c>
      <c r="D42" s="20"/>
      <c r="E42" s="20">
        <v>4101</v>
      </c>
      <c r="F42" s="28"/>
    </row>
    <row r="43" spans="2:6" ht="12.75">
      <c r="B43" s="17" t="s">
        <v>18</v>
      </c>
      <c r="C43" s="20">
        <v>6857</v>
      </c>
      <c r="D43" s="20"/>
      <c r="E43" s="20">
        <v>10007</v>
      </c>
      <c r="F43" s="28"/>
    </row>
    <row r="44" spans="2:6" ht="21" customHeight="1">
      <c r="B44" s="17" t="s">
        <v>19</v>
      </c>
      <c r="C44" s="3">
        <f>SUM(C37:C43)</f>
        <v>597739</v>
      </c>
      <c r="D44" s="20"/>
      <c r="E44" s="3">
        <f>SUM(E37:E43)</f>
        <v>538597</v>
      </c>
      <c r="F44" s="28"/>
    </row>
    <row r="45" spans="3:6" ht="12.75">
      <c r="C45" s="20"/>
      <c r="D45" s="20"/>
      <c r="E45" s="20"/>
      <c r="F45" s="28"/>
    </row>
    <row r="46" spans="2:6" ht="20.25" customHeight="1">
      <c r="B46" s="5" t="s">
        <v>20</v>
      </c>
      <c r="C46" s="21">
        <f>'Life Fund Revenue Account'!F49</f>
        <v>5216991</v>
      </c>
      <c r="D46" s="20"/>
      <c r="E46" s="21">
        <v>4930032</v>
      </c>
      <c r="F46" s="28"/>
    </row>
    <row r="47" spans="3:6" ht="12.75">
      <c r="C47" s="20"/>
      <c r="D47" s="20"/>
      <c r="E47" s="20"/>
      <c r="F47" s="28"/>
    </row>
    <row r="48" spans="2:6" ht="30" customHeight="1">
      <c r="B48" s="18" t="s">
        <v>21</v>
      </c>
      <c r="C48" s="20">
        <f>+C44+C46</f>
        <v>5814730</v>
      </c>
      <c r="D48" s="20"/>
      <c r="E48" s="20">
        <f>E44+E46</f>
        <v>5468629</v>
      </c>
      <c r="F48" s="28"/>
    </row>
    <row r="49" spans="2:6" ht="12.75">
      <c r="B49" s="18"/>
      <c r="C49" s="20"/>
      <c r="D49" s="20"/>
      <c r="E49" s="20"/>
      <c r="F49" s="28"/>
    </row>
    <row r="50" spans="2:6" ht="20.25" customHeight="1">
      <c r="B50" s="18" t="s">
        <v>115</v>
      </c>
      <c r="C50" s="20">
        <v>3329</v>
      </c>
      <c r="D50" s="20"/>
      <c r="E50" s="20">
        <v>9040</v>
      </c>
      <c r="F50" s="28"/>
    </row>
    <row r="51" spans="2:6" ht="12.75">
      <c r="B51" s="18"/>
      <c r="C51" s="20"/>
      <c r="D51" s="20"/>
      <c r="E51" s="20"/>
      <c r="F51" s="28"/>
    </row>
    <row r="52" spans="2:6" ht="20.25" customHeight="1" thickBot="1">
      <c r="B52" s="18"/>
      <c r="C52" s="1">
        <f>C48+C50</f>
        <v>5818059</v>
      </c>
      <c r="D52" s="20"/>
      <c r="E52" s="1">
        <f>E48+E50</f>
        <v>5477669</v>
      </c>
      <c r="F52" s="28"/>
    </row>
    <row r="53" spans="3:6" ht="13.5" thickTop="1">
      <c r="C53" s="77">
        <f>+C33-C52</f>
        <v>0</v>
      </c>
      <c r="D53" s="4"/>
      <c r="E53" s="4">
        <f>+E33-E52</f>
        <v>0</v>
      </c>
      <c r="F53" s="28"/>
    </row>
    <row r="54" spans="3:6" ht="12.75">
      <c r="C54" s="66"/>
      <c r="D54" s="20"/>
      <c r="E54" s="20"/>
      <c r="F54" s="28"/>
    </row>
    <row r="55" spans="2:5" ht="12.75">
      <c r="B55" s="83" t="s">
        <v>103</v>
      </c>
      <c r="C55" s="83"/>
      <c r="D55" s="83"/>
      <c r="E55" s="83"/>
    </row>
    <row r="56" spans="2:5" ht="12.75">
      <c r="B56" s="84"/>
      <c r="C56" s="84"/>
      <c r="D56" s="84"/>
      <c r="E56" s="84"/>
    </row>
  </sheetData>
  <mergeCells count="2">
    <mergeCell ref="B4:E5"/>
    <mergeCell ref="B55:E56"/>
  </mergeCells>
  <printOptions/>
  <pageMargins left="0.5" right="0.5" top="0.5" bottom="0.5" header="0.5" footer="0.5"/>
  <pageSetup fitToHeight="1" fitToWidth="1" horizontalDpi="300" verticalDpi="3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2:G56"/>
  <sheetViews>
    <sheetView zoomScale="80" zoomScaleNormal="80" workbookViewId="0" topLeftCell="A34">
      <selection activeCell="B37" sqref="B37"/>
    </sheetView>
  </sheetViews>
  <sheetFormatPr defaultColWidth="9.140625" defaultRowHeight="12.75"/>
  <cols>
    <col min="1" max="1" width="7.7109375" style="17" customWidth="1"/>
    <col min="2" max="2" width="42.57421875" style="17" customWidth="1"/>
    <col min="3" max="4" width="14.57421875" style="17" customWidth="1"/>
    <col min="5" max="5" width="1.7109375" style="17" customWidth="1"/>
    <col min="6" max="6" width="14.57421875" style="69" customWidth="1"/>
    <col min="7" max="7" width="14.57421875" style="17" customWidth="1"/>
    <col min="8" max="8" width="7.7109375" style="17" customWidth="1"/>
    <col min="9" max="134" width="10.421875" style="17" customWidth="1"/>
    <col min="135" max="16384" width="3.57421875" style="17" customWidth="1"/>
  </cols>
  <sheetData>
    <row r="2" spans="1:7" ht="12.75">
      <c r="A2" s="5"/>
      <c r="B2" s="5" t="s">
        <v>0</v>
      </c>
      <c r="C2" s="5"/>
      <c r="D2" s="5"/>
      <c r="E2" s="5"/>
      <c r="F2" s="67"/>
      <c r="G2" s="5"/>
    </row>
    <row r="3" spans="1:7" ht="12.75">
      <c r="A3" s="5"/>
      <c r="B3" s="5"/>
      <c r="C3" s="5"/>
      <c r="D3" s="5"/>
      <c r="E3" s="5"/>
      <c r="F3" s="67"/>
      <c r="G3" s="5"/>
    </row>
    <row r="4" spans="1:7" ht="12.75" customHeight="1">
      <c r="A4" s="5"/>
      <c r="B4" s="85" t="s">
        <v>140</v>
      </c>
      <c r="C4" s="85"/>
      <c r="D4" s="85"/>
      <c r="E4" s="85"/>
      <c r="F4" s="85"/>
      <c r="G4" s="85"/>
    </row>
    <row r="5" spans="1:7" ht="12.75">
      <c r="A5" s="5"/>
      <c r="B5" s="85"/>
      <c r="C5" s="85"/>
      <c r="D5" s="85"/>
      <c r="E5" s="85"/>
      <c r="F5" s="85"/>
      <c r="G5" s="85"/>
    </row>
    <row r="6" spans="1:7" ht="12.75">
      <c r="A6" s="5"/>
      <c r="B6" s="47"/>
      <c r="C6" s="47"/>
      <c r="D6" s="47"/>
      <c r="E6" s="47"/>
      <c r="F6" s="71"/>
      <c r="G6" s="47"/>
    </row>
    <row r="7" spans="1:7" ht="12.75">
      <c r="A7" s="5"/>
      <c r="B7" s="5" t="s">
        <v>84</v>
      </c>
      <c r="C7" s="33"/>
      <c r="D7" s="33"/>
      <c r="E7" s="5"/>
      <c r="F7" s="67"/>
      <c r="G7" s="5"/>
    </row>
    <row r="8" spans="1:7" ht="12.75">
      <c r="A8" s="5"/>
      <c r="B8" s="5"/>
      <c r="C8" s="5"/>
      <c r="D8" s="5"/>
      <c r="E8" s="5"/>
      <c r="F8" s="7"/>
      <c r="G8" s="5"/>
    </row>
    <row r="9" spans="1:7" ht="12.75">
      <c r="A9" s="5"/>
      <c r="B9" s="5"/>
      <c r="C9" s="86" t="s">
        <v>34</v>
      </c>
      <c r="D9" s="86"/>
      <c r="E9" s="11"/>
      <c r="F9" s="86" t="s">
        <v>142</v>
      </c>
      <c r="G9" s="86"/>
    </row>
    <row r="10" spans="1:7" ht="13.5" thickBot="1">
      <c r="A10" s="7"/>
      <c r="B10" s="7"/>
      <c r="C10" s="14" t="s">
        <v>139</v>
      </c>
      <c r="D10" s="14" t="s">
        <v>141</v>
      </c>
      <c r="E10" s="11"/>
      <c r="F10" s="14" t="str">
        <f>C10</f>
        <v>30.09.2006</v>
      </c>
      <c r="G10" s="14" t="str">
        <f>D10</f>
        <v>30.09.2005</v>
      </c>
    </row>
    <row r="11" spans="1:7" ht="12.75">
      <c r="A11" s="7"/>
      <c r="B11" s="7"/>
      <c r="C11" s="12"/>
      <c r="D11" s="12"/>
      <c r="E11" s="11"/>
      <c r="F11" s="12"/>
      <c r="G11" s="13"/>
    </row>
    <row r="12" spans="1:7" ht="12.75">
      <c r="A12" s="7"/>
      <c r="C12" s="34" t="s">
        <v>8</v>
      </c>
      <c r="D12" s="34" t="str">
        <f>+C12</f>
        <v>RM'000</v>
      </c>
      <c r="F12" s="34" t="str">
        <f>+D12</f>
        <v>RM'000</v>
      </c>
      <c r="G12" s="34" t="str">
        <f>+F12</f>
        <v>RM'000</v>
      </c>
    </row>
    <row r="13" spans="1:7" ht="12.75">
      <c r="A13" s="7"/>
      <c r="C13" s="34"/>
      <c r="F13" s="34"/>
      <c r="G13" s="34"/>
    </row>
    <row r="14" spans="1:7" ht="12.75">
      <c r="A14" s="7"/>
      <c r="B14" s="17" t="s">
        <v>35</v>
      </c>
      <c r="C14" s="20">
        <f>+F14-656334</f>
        <v>280345</v>
      </c>
      <c r="D14" s="16">
        <f>+G14-668872</f>
        <v>329377</v>
      </c>
      <c r="E14" s="19"/>
      <c r="F14" s="20">
        <v>936679</v>
      </c>
      <c r="G14" s="16">
        <v>998249</v>
      </c>
    </row>
    <row r="15" spans="1:7" ht="12.75">
      <c r="A15" s="7"/>
      <c r="B15" s="17" t="s">
        <v>36</v>
      </c>
      <c r="C15" s="21">
        <f>+F15+5331</f>
        <v>-7554</v>
      </c>
      <c r="D15" s="40">
        <f>+G15--10171</f>
        <v>-4124</v>
      </c>
      <c r="E15" s="20"/>
      <c r="F15" s="21">
        <v>-12885</v>
      </c>
      <c r="G15" s="40">
        <v>-14295</v>
      </c>
    </row>
    <row r="16" spans="3:7" ht="12.75">
      <c r="C16" s="20"/>
      <c r="D16" s="16"/>
      <c r="E16" s="20"/>
      <c r="F16" s="20"/>
      <c r="G16" s="16"/>
    </row>
    <row r="17" spans="2:7" ht="12.75">
      <c r="B17" s="17" t="s">
        <v>37</v>
      </c>
      <c r="C17" s="19">
        <f>+C14+C15</f>
        <v>272791</v>
      </c>
      <c r="D17" s="19">
        <f>+D14+D15</f>
        <v>325253</v>
      </c>
      <c r="E17" s="19"/>
      <c r="F17" s="19">
        <f>+F14+F15</f>
        <v>923794</v>
      </c>
      <c r="G17" s="19">
        <f>+G14+G15</f>
        <v>983954</v>
      </c>
    </row>
    <row r="18" spans="2:7" ht="12.75">
      <c r="B18" s="38"/>
      <c r="C18" s="19"/>
      <c r="D18" s="37"/>
      <c r="E18" s="19"/>
      <c r="F18" s="19"/>
      <c r="G18" s="37"/>
    </row>
    <row r="19" spans="2:7" ht="12.75">
      <c r="B19" s="17" t="s">
        <v>38</v>
      </c>
      <c r="C19" s="20">
        <f>+F19+359393</f>
        <v>-282703</v>
      </c>
      <c r="D19" s="37">
        <f>+G19--402890</f>
        <v>-257329</v>
      </c>
      <c r="E19" s="19"/>
      <c r="F19" s="20">
        <v>-642096</v>
      </c>
      <c r="G19" s="37">
        <v>-660219</v>
      </c>
    </row>
    <row r="20" spans="2:7" ht="12.75">
      <c r="B20" s="17" t="s">
        <v>39</v>
      </c>
      <c r="C20" s="20">
        <f>+F20+70889</f>
        <v>-29848</v>
      </c>
      <c r="D20" s="16">
        <f>+G20--69315</f>
        <v>-34459</v>
      </c>
      <c r="E20" s="19"/>
      <c r="F20" s="20">
        <v>-100737</v>
      </c>
      <c r="G20" s="16">
        <v>-103774</v>
      </c>
    </row>
    <row r="21" spans="2:7" ht="12.75">
      <c r="B21" s="17" t="s">
        <v>40</v>
      </c>
      <c r="C21" s="21">
        <f>+F21+47904</f>
        <v>-26436</v>
      </c>
      <c r="D21" s="40">
        <f>+G21--44788</f>
        <v>-22609</v>
      </c>
      <c r="E21" s="20"/>
      <c r="F21" s="21">
        <v>-74340</v>
      </c>
      <c r="G21" s="40">
        <v>-67397</v>
      </c>
    </row>
    <row r="22" spans="3:7" ht="12.75">
      <c r="C22" s="20"/>
      <c r="D22" s="16"/>
      <c r="E22" s="19"/>
      <c r="F22" s="20"/>
      <c r="G22" s="16"/>
    </row>
    <row r="23" spans="3:7" ht="12.75">
      <c r="C23" s="16">
        <f>+C17+C19+C20+C21</f>
        <v>-66196</v>
      </c>
      <c r="D23" s="16">
        <f>+D17+D19+D20+D21</f>
        <v>10856</v>
      </c>
      <c r="E23" s="20"/>
      <c r="F23" s="16">
        <f>+F17+F19+F20+F21</f>
        <v>106621</v>
      </c>
      <c r="G23" s="16">
        <f>+G17+G19+G20+G21</f>
        <v>152564</v>
      </c>
    </row>
    <row r="24" spans="3:7" ht="12.75">
      <c r="C24" s="16"/>
      <c r="D24" s="16"/>
      <c r="E24" s="20"/>
      <c r="F24" s="16"/>
      <c r="G24" s="16"/>
    </row>
    <row r="25" spans="2:7" ht="12.75">
      <c r="B25" s="17" t="s">
        <v>41</v>
      </c>
      <c r="C25" s="20">
        <f>+F25-105870</f>
        <v>55346</v>
      </c>
      <c r="D25" s="20">
        <f>+G25-109507</f>
        <v>56933</v>
      </c>
      <c r="E25" s="20"/>
      <c r="F25" s="20">
        <v>161216</v>
      </c>
      <c r="G25" s="20">
        <v>166440</v>
      </c>
    </row>
    <row r="26" spans="2:7" ht="12.75">
      <c r="B26" s="9" t="s">
        <v>160</v>
      </c>
      <c r="C26" s="21">
        <f>+F26-1812</f>
        <v>6220</v>
      </c>
      <c r="D26" s="21">
        <f>+G26-(15997-1006)</f>
        <v>10433</v>
      </c>
      <c r="E26" s="20"/>
      <c r="F26" s="21">
        <v>8032</v>
      </c>
      <c r="G26" s="79">
        <f>27422-1998</f>
        <v>25424</v>
      </c>
    </row>
    <row r="27" spans="2:7" ht="12.75">
      <c r="B27" s="45"/>
      <c r="C27" s="20"/>
      <c r="D27" s="20"/>
      <c r="E27" s="20"/>
      <c r="F27" s="20"/>
      <c r="G27" s="20"/>
    </row>
    <row r="28" spans="2:7" ht="12.75">
      <c r="B28" s="17" t="s">
        <v>42</v>
      </c>
      <c r="C28" s="20">
        <f>+C23+C25+C26</f>
        <v>-4630</v>
      </c>
      <c r="D28" s="20">
        <f>+D23+D25+D26</f>
        <v>78222</v>
      </c>
      <c r="E28" s="20"/>
      <c r="F28" s="20">
        <f>+F23+F25+F26</f>
        <v>275869</v>
      </c>
      <c r="G28" s="20">
        <f>+G23+G25+G26</f>
        <v>344428</v>
      </c>
    </row>
    <row r="29" spans="3:7" ht="12.75">
      <c r="C29" s="20"/>
      <c r="D29" s="20"/>
      <c r="E29" s="20"/>
      <c r="F29" s="20"/>
      <c r="G29" s="20"/>
    </row>
    <row r="30" spans="2:7" ht="12.75">
      <c r="B30" s="17" t="s">
        <v>43</v>
      </c>
      <c r="C30" s="21">
        <f>+F30+11</f>
        <v>-5</v>
      </c>
      <c r="D30" s="21">
        <f>+G30--8</f>
        <v>0</v>
      </c>
      <c r="E30" s="20"/>
      <c r="F30" s="21">
        <v>-16</v>
      </c>
      <c r="G30" s="21">
        <v>-8</v>
      </c>
    </row>
    <row r="31" spans="3:7" ht="12.75">
      <c r="C31" s="20"/>
      <c r="D31" s="20"/>
      <c r="E31" s="20"/>
      <c r="F31" s="20"/>
      <c r="G31" s="20"/>
    </row>
    <row r="32" spans="1:7" ht="12.75">
      <c r="A32" s="5"/>
      <c r="B32" s="17" t="s">
        <v>161</v>
      </c>
      <c r="C32" s="20">
        <f>+C28+C30</f>
        <v>-4635</v>
      </c>
      <c r="D32" s="20">
        <f>+D28+D30</f>
        <v>78222</v>
      </c>
      <c r="E32" s="20"/>
      <c r="F32" s="20">
        <f>+F28+F30</f>
        <v>275853</v>
      </c>
      <c r="G32" s="20">
        <f>+G28+G30</f>
        <v>344420</v>
      </c>
    </row>
    <row r="33" spans="3:7" ht="12.75">
      <c r="C33" s="20"/>
      <c r="D33" s="28"/>
      <c r="E33" s="28"/>
      <c r="F33" s="20"/>
      <c r="G33" s="28"/>
    </row>
    <row r="34" spans="2:7" ht="12.75">
      <c r="B34" s="17" t="s">
        <v>44</v>
      </c>
      <c r="C34" s="21">
        <f>+F34+8547</f>
        <v>-5620</v>
      </c>
      <c r="D34" s="21">
        <f>+G34--1308</f>
        <v>-6017</v>
      </c>
      <c r="E34" s="20"/>
      <c r="F34" s="21">
        <v>-14167</v>
      </c>
      <c r="G34" s="21">
        <v>-7325</v>
      </c>
    </row>
    <row r="35" spans="3:7" ht="12.75">
      <c r="C35" s="20"/>
      <c r="D35" s="20"/>
      <c r="E35" s="20"/>
      <c r="F35" s="20"/>
      <c r="G35" s="20"/>
    </row>
    <row r="36" spans="2:7" ht="25.5">
      <c r="B36" s="18" t="s">
        <v>163</v>
      </c>
      <c r="C36" s="20">
        <f>+C32+C34</f>
        <v>-10255</v>
      </c>
      <c r="D36" s="20">
        <f>+D32+D34</f>
        <v>72205</v>
      </c>
      <c r="E36" s="20"/>
      <c r="F36" s="20">
        <f>+F32+F34</f>
        <v>261686</v>
      </c>
      <c r="G36" s="20">
        <f>+G32+G34</f>
        <v>337095</v>
      </c>
    </row>
    <row r="37" spans="3:7" ht="12.75">
      <c r="C37" s="20"/>
      <c r="D37" s="20"/>
      <c r="E37" s="20"/>
      <c r="F37" s="20"/>
      <c r="G37" s="20"/>
    </row>
    <row r="38" spans="2:7" ht="12.75">
      <c r="B38" s="17" t="s">
        <v>81</v>
      </c>
      <c r="C38" s="21">
        <f>+F38-11038</f>
        <v>14235</v>
      </c>
      <c r="D38" s="21">
        <f>+G38--13730</f>
        <v>-3371</v>
      </c>
      <c r="E38" s="20"/>
      <c r="F38" s="21">
        <v>25273</v>
      </c>
      <c r="G38" s="21">
        <v>-17101</v>
      </c>
    </row>
    <row r="39" spans="3:7" ht="12.75">
      <c r="C39" s="20"/>
      <c r="D39" s="20"/>
      <c r="E39" s="20"/>
      <c r="F39" s="20"/>
      <c r="G39" s="20"/>
    </row>
    <row r="40" spans="2:7" ht="25.5">
      <c r="B40" s="18" t="s">
        <v>122</v>
      </c>
      <c r="C40" s="20">
        <f>+C36+C38</f>
        <v>3980</v>
      </c>
      <c r="D40" s="20">
        <f>+D36+D38</f>
        <v>68834</v>
      </c>
      <c r="E40" s="20"/>
      <c r="F40" s="20">
        <f>+F36+F38</f>
        <v>286959</v>
      </c>
      <c r="G40" s="20">
        <f>+G36+G38</f>
        <v>319994</v>
      </c>
    </row>
    <row r="41" spans="3:7" ht="12.75">
      <c r="C41" s="20"/>
      <c r="D41" s="20"/>
      <c r="E41" s="20"/>
      <c r="F41" s="20"/>
      <c r="G41" s="20"/>
    </row>
    <row r="42" spans="2:7" ht="12.75">
      <c r="B42" s="84" t="s">
        <v>137</v>
      </c>
      <c r="C42" s="20"/>
      <c r="D42" s="20"/>
      <c r="E42" s="20"/>
      <c r="F42" s="20"/>
      <c r="G42" s="20"/>
    </row>
    <row r="43" spans="2:7" ht="12.75">
      <c r="B43" s="84"/>
      <c r="C43" s="21">
        <v>5213011</v>
      </c>
      <c r="D43" s="21">
        <v>4759863</v>
      </c>
      <c r="E43" s="28"/>
      <c r="F43" s="21">
        <f>4930355-323</f>
        <v>4930032</v>
      </c>
      <c r="G43" s="21">
        <f>4447086-1683+63300</f>
        <v>4508703</v>
      </c>
    </row>
    <row r="44" spans="3:7" ht="12.75">
      <c r="C44" s="20"/>
      <c r="D44" s="28"/>
      <c r="E44" s="28"/>
      <c r="F44" s="20"/>
      <c r="G44" s="28"/>
    </row>
    <row r="45" spans="3:7" ht="12.75">
      <c r="C45" s="20">
        <f>C40+C43</f>
        <v>5216991</v>
      </c>
      <c r="D45" s="50">
        <f>+D40+D43</f>
        <v>4828697</v>
      </c>
      <c r="E45" s="28"/>
      <c r="F45" s="20">
        <f>F40+F43</f>
        <v>5216991</v>
      </c>
      <c r="G45" s="50">
        <f>+G40+G43</f>
        <v>4828697</v>
      </c>
    </row>
    <row r="46" spans="2:6" ht="12.75">
      <c r="B46" s="84" t="s">
        <v>110</v>
      </c>
      <c r="F46" s="17"/>
    </row>
    <row r="47" spans="2:7" ht="12.75">
      <c r="B47" s="84"/>
      <c r="C47" s="20">
        <v>0</v>
      </c>
      <c r="D47" s="20">
        <v>0</v>
      </c>
      <c r="E47" s="28"/>
      <c r="F47" s="20">
        <v>0</v>
      </c>
      <c r="G47" s="20">
        <v>0</v>
      </c>
    </row>
    <row r="48" spans="3:7" ht="12.75">
      <c r="C48" s="20"/>
      <c r="D48" s="28"/>
      <c r="E48" s="28"/>
      <c r="F48" s="20"/>
      <c r="G48" s="28"/>
    </row>
    <row r="49" spans="2:7" ht="26.25" thickBot="1">
      <c r="B49" s="43" t="s">
        <v>121</v>
      </c>
      <c r="C49" s="1">
        <f>+C45+C47</f>
        <v>5216991</v>
      </c>
      <c r="D49" s="1">
        <f>+D45+D47</f>
        <v>4828697</v>
      </c>
      <c r="E49" s="28"/>
      <c r="F49" s="1">
        <f>+F45+F47</f>
        <v>5216991</v>
      </c>
      <c r="G49" s="1">
        <f>+G45+G47</f>
        <v>4828697</v>
      </c>
    </row>
    <row r="50" spans="3:7" ht="13.5" thickTop="1">
      <c r="C50" s="50">
        <f>+C49-F49</f>
        <v>0</v>
      </c>
      <c r="D50" s="50">
        <f>+D49-G49</f>
        <v>0</v>
      </c>
      <c r="E50" s="28"/>
      <c r="F50" s="20"/>
      <c r="G50" s="28"/>
    </row>
    <row r="52" spans="2:7" ht="12.75">
      <c r="B52" s="88" t="s">
        <v>109</v>
      </c>
      <c r="C52" s="88"/>
      <c r="D52" s="88"/>
      <c r="E52" s="88"/>
      <c r="F52" s="88"/>
      <c r="G52" s="88"/>
    </row>
    <row r="53" spans="2:7" ht="12.75">
      <c r="B53" s="84"/>
      <c r="C53" s="84"/>
      <c r="D53" s="84"/>
      <c r="E53" s="84"/>
      <c r="F53" s="84"/>
      <c r="G53" s="84"/>
    </row>
    <row r="55" spans="2:7" ht="12.75">
      <c r="B55" s="88" t="s">
        <v>104</v>
      </c>
      <c r="C55" s="84"/>
      <c r="D55" s="84"/>
      <c r="E55" s="84"/>
      <c r="F55" s="84"/>
      <c r="G55" s="84"/>
    </row>
    <row r="56" spans="2:7" ht="12.75">
      <c r="B56" s="84"/>
      <c r="C56" s="84"/>
      <c r="D56" s="84"/>
      <c r="E56" s="84"/>
      <c r="F56" s="84"/>
      <c r="G56" s="84"/>
    </row>
  </sheetData>
  <mergeCells count="7">
    <mergeCell ref="B52:G53"/>
    <mergeCell ref="B55:G56"/>
    <mergeCell ref="B4:G5"/>
    <mergeCell ref="C9:D9"/>
    <mergeCell ref="F9:G9"/>
    <mergeCell ref="B42:B43"/>
    <mergeCell ref="B46:B47"/>
  </mergeCells>
  <printOptions/>
  <pageMargins left="0.5" right="0.5" top="0.5" bottom="0.5" header="0.5" footer="0.5"/>
  <pageSetup fitToHeight="1" fitToWidth="1" horizontalDpi="300" verticalDpi="300" orientation="portrait"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B2:I54"/>
  <sheetViews>
    <sheetView zoomScale="80" zoomScaleNormal="80" workbookViewId="0" topLeftCell="A1">
      <pane xSplit="2" ySplit="11" topLeftCell="C23" activePane="bottomRight" state="frozen"/>
      <selection pane="topLeft" activeCell="A1" sqref="A1"/>
      <selection pane="topRight" activeCell="C1" sqref="C1"/>
      <selection pane="bottomLeft" activeCell="A12" sqref="A12"/>
      <selection pane="bottomRight" activeCell="G30" sqref="G30"/>
    </sheetView>
  </sheetViews>
  <sheetFormatPr defaultColWidth="9.140625" defaultRowHeight="12.75"/>
  <cols>
    <col min="1" max="1" width="7.7109375" style="17" customWidth="1"/>
    <col min="2" max="2" width="30.00390625" style="17" customWidth="1"/>
    <col min="3" max="8" width="14.7109375" style="17" customWidth="1"/>
    <col min="9" max="9" width="9.57421875" style="17" bestFit="1" customWidth="1"/>
    <col min="10" max="16384" width="9.140625" style="17" customWidth="1"/>
  </cols>
  <sheetData>
    <row r="2" spans="2:5" ht="12.75">
      <c r="B2" s="5" t="s">
        <v>0</v>
      </c>
      <c r="C2" s="5"/>
      <c r="D2" s="5"/>
      <c r="E2" s="5"/>
    </row>
    <row r="3" spans="2:5" ht="12.75">
      <c r="B3" s="5"/>
      <c r="C3" s="5"/>
      <c r="D3" s="5"/>
      <c r="E3" s="5"/>
    </row>
    <row r="4" spans="2:8" ht="12.75">
      <c r="B4" s="85" t="s">
        <v>140</v>
      </c>
      <c r="C4" s="84"/>
      <c r="D4" s="84"/>
      <c r="E4" s="84"/>
      <c r="F4" s="84"/>
      <c r="G4" s="84"/>
      <c r="H4" s="84"/>
    </row>
    <row r="5" spans="2:8" ht="12.75">
      <c r="B5" s="26"/>
      <c r="C5" s="26"/>
      <c r="D5" s="26"/>
      <c r="E5" s="26"/>
      <c r="F5" s="26"/>
      <c r="G5" s="26"/>
      <c r="H5" s="26"/>
    </row>
    <row r="6" spans="2:5" ht="12.75">
      <c r="B6" s="5" t="s">
        <v>58</v>
      </c>
      <c r="C6" s="5"/>
      <c r="D6" s="5"/>
      <c r="E6" s="5"/>
    </row>
    <row r="7" ht="12.75">
      <c r="C7" s="34"/>
    </row>
    <row r="8" spans="3:6" ht="12.75">
      <c r="C8" s="52"/>
      <c r="D8" s="53"/>
      <c r="E8" s="53"/>
      <c r="F8" s="54" t="s">
        <v>124</v>
      </c>
    </row>
    <row r="9" ht="12.75">
      <c r="C9" s="34"/>
    </row>
    <row r="10" spans="3:7" s="5" customFormat="1" ht="12.75">
      <c r="C10" s="11" t="s">
        <v>59</v>
      </c>
      <c r="D10" s="11" t="s">
        <v>59</v>
      </c>
      <c r="E10" s="11" t="s">
        <v>107</v>
      </c>
      <c r="F10" s="11" t="s">
        <v>60</v>
      </c>
      <c r="G10" s="11" t="s">
        <v>105</v>
      </c>
    </row>
    <row r="11" spans="3:8" s="5" customFormat="1" ht="13.5" thickBot="1">
      <c r="C11" s="14" t="s">
        <v>61</v>
      </c>
      <c r="D11" s="14" t="s">
        <v>62</v>
      </c>
      <c r="E11" s="14" t="s">
        <v>125</v>
      </c>
      <c r="F11" s="14" t="s">
        <v>63</v>
      </c>
      <c r="G11" s="14" t="s">
        <v>106</v>
      </c>
      <c r="H11" s="14" t="s">
        <v>64</v>
      </c>
    </row>
    <row r="12" spans="3:8" s="5" customFormat="1" ht="12.75">
      <c r="C12" s="34" t="s">
        <v>8</v>
      </c>
      <c r="D12" s="34" t="s">
        <v>8</v>
      </c>
      <c r="E12" s="34" t="s">
        <v>8</v>
      </c>
      <c r="F12" s="34" t="s">
        <v>8</v>
      </c>
      <c r="G12" s="34" t="s">
        <v>8</v>
      </c>
      <c r="H12" s="34" t="s">
        <v>8</v>
      </c>
    </row>
    <row r="13" ht="12.75">
      <c r="B13" s="5"/>
    </row>
    <row r="14" ht="12.75">
      <c r="B14" s="55" t="s">
        <v>143</v>
      </c>
    </row>
    <row r="15" ht="12.75">
      <c r="B15" s="5"/>
    </row>
    <row r="16" spans="2:8" ht="12.75">
      <c r="B16" s="17" t="s">
        <v>112</v>
      </c>
      <c r="C16" s="19">
        <v>152177</v>
      </c>
      <c r="D16" s="19">
        <v>11744</v>
      </c>
      <c r="E16" s="19">
        <v>1063</v>
      </c>
      <c r="F16" s="19">
        <v>226836</v>
      </c>
      <c r="G16" s="19">
        <v>1775</v>
      </c>
      <c r="H16" s="19">
        <f>SUM(C16:G16)</f>
        <v>393595</v>
      </c>
    </row>
    <row r="17" spans="3:8" ht="12.75">
      <c r="C17" s="19"/>
      <c r="D17" s="19"/>
      <c r="E17" s="19"/>
      <c r="F17" s="19"/>
      <c r="G17" s="19"/>
      <c r="H17" s="19"/>
    </row>
    <row r="18" spans="2:8" ht="25.5">
      <c r="B18" s="18" t="s">
        <v>164</v>
      </c>
      <c r="C18" s="19">
        <v>152177</v>
      </c>
      <c r="D18" s="19">
        <v>-11744</v>
      </c>
      <c r="E18" s="19">
        <v>0</v>
      </c>
      <c r="F18" s="19">
        <f>-D18-C18</f>
        <v>-140433</v>
      </c>
      <c r="G18" s="19">
        <v>0</v>
      </c>
      <c r="H18" s="19">
        <f>SUM(C18:G18)</f>
        <v>0</v>
      </c>
    </row>
    <row r="19" spans="3:8" ht="12.75">
      <c r="C19" s="19"/>
      <c r="D19" s="19"/>
      <c r="E19" s="19"/>
      <c r="F19" s="19"/>
      <c r="G19" s="19"/>
      <c r="H19" s="19"/>
    </row>
    <row r="20" spans="2:8" ht="51">
      <c r="B20" s="18" t="s">
        <v>135</v>
      </c>
      <c r="C20" s="19">
        <v>0</v>
      </c>
      <c r="D20" s="19">
        <v>0</v>
      </c>
      <c r="E20" s="19">
        <v>0</v>
      </c>
      <c r="F20" s="19">
        <v>0</v>
      </c>
      <c r="G20" s="19">
        <f>147+22-4</f>
        <v>165</v>
      </c>
      <c r="H20" s="19">
        <f>SUM(C20:G20)</f>
        <v>165</v>
      </c>
    </row>
    <row r="21" spans="3:8" ht="12.75">
      <c r="C21" s="19"/>
      <c r="D21" s="19"/>
      <c r="E21" s="19"/>
      <c r="F21" s="19"/>
      <c r="G21" s="19"/>
      <c r="H21" s="19"/>
    </row>
    <row r="22" spans="2:8" ht="25.5">
      <c r="B22" s="18" t="s">
        <v>118</v>
      </c>
      <c r="C22" s="19">
        <v>0</v>
      </c>
      <c r="D22" s="19">
        <v>0</v>
      </c>
      <c r="E22" s="19">
        <v>-2631</v>
      </c>
      <c r="F22" s="19">
        <v>0</v>
      </c>
      <c r="G22" s="19">
        <v>0</v>
      </c>
      <c r="H22" s="19">
        <f>SUM(C22:G22)</f>
        <v>-2631</v>
      </c>
    </row>
    <row r="23" spans="2:8" ht="12.75">
      <c r="B23" s="18"/>
      <c r="C23" s="19"/>
      <c r="D23" s="19"/>
      <c r="E23" s="19"/>
      <c r="F23" s="19"/>
      <c r="G23" s="19"/>
      <c r="H23" s="19"/>
    </row>
    <row r="24" spans="2:8" ht="25.5">
      <c r="B24" s="18" t="s">
        <v>126</v>
      </c>
      <c r="C24" s="19">
        <v>0</v>
      </c>
      <c r="D24" s="19">
        <v>0</v>
      </c>
      <c r="E24" s="19">
        <v>-923</v>
      </c>
      <c r="F24" s="19">
        <v>0</v>
      </c>
      <c r="G24" s="19">
        <v>0</v>
      </c>
      <c r="H24" s="19">
        <f>SUM(C24:G24)</f>
        <v>-923</v>
      </c>
    </row>
    <row r="25" spans="2:8" ht="12.75">
      <c r="B25" s="18"/>
      <c r="C25" s="19"/>
      <c r="D25" s="19"/>
      <c r="E25" s="19"/>
      <c r="F25" s="19"/>
      <c r="G25" s="19"/>
      <c r="H25" s="19"/>
    </row>
    <row r="26" spans="2:8" ht="12.75">
      <c r="B26" s="17" t="s">
        <v>162</v>
      </c>
      <c r="C26" s="19">
        <v>0</v>
      </c>
      <c r="D26" s="19">
        <v>0</v>
      </c>
      <c r="E26" s="19">
        <v>0</v>
      </c>
      <c r="F26" s="19">
        <f>'Condensed Income Statement'!F47</f>
        <v>2267</v>
      </c>
      <c r="G26" s="19">
        <f>+'Condensed Income Statement'!F48</f>
        <v>-577</v>
      </c>
      <c r="H26" s="19">
        <f>SUM(C26:G26)</f>
        <v>1690</v>
      </c>
    </row>
    <row r="27" spans="3:8" ht="12.75">
      <c r="C27" s="19"/>
      <c r="D27" s="19"/>
      <c r="E27" s="19"/>
      <c r="F27" s="19"/>
      <c r="G27" s="19"/>
      <c r="H27" s="19"/>
    </row>
    <row r="28" spans="2:8" ht="25.5">
      <c r="B28" s="76" t="s">
        <v>154</v>
      </c>
      <c r="C28" s="19">
        <v>0</v>
      </c>
      <c r="D28" s="19">
        <v>0</v>
      </c>
      <c r="E28" s="19">
        <v>0</v>
      </c>
      <c r="F28" s="19">
        <v>-15218</v>
      </c>
      <c r="G28" s="19">
        <v>0</v>
      </c>
      <c r="H28" s="19">
        <f>SUM(C28:G28)</f>
        <v>-15218</v>
      </c>
    </row>
    <row r="29" spans="3:8" ht="12.75">
      <c r="C29" s="19"/>
      <c r="D29" s="19"/>
      <c r="E29" s="19"/>
      <c r="F29" s="19"/>
      <c r="G29" s="19"/>
      <c r="H29" s="19"/>
    </row>
    <row r="30" spans="2:8" ht="13.5" thickBot="1">
      <c r="B30" s="17" t="s">
        <v>144</v>
      </c>
      <c r="C30" s="1">
        <f aca="true" t="shared" si="0" ref="C30:H30">SUM(C16:C29)</f>
        <v>304354</v>
      </c>
      <c r="D30" s="1">
        <f t="shared" si="0"/>
        <v>0</v>
      </c>
      <c r="E30" s="1">
        <f t="shared" si="0"/>
        <v>-2491</v>
      </c>
      <c r="F30" s="1">
        <f t="shared" si="0"/>
        <v>73452</v>
      </c>
      <c r="G30" s="1">
        <f t="shared" si="0"/>
        <v>1363</v>
      </c>
      <c r="H30" s="1">
        <f t="shared" si="0"/>
        <v>376678</v>
      </c>
    </row>
    <row r="31" spans="3:8" ht="13.5" thickTop="1">
      <c r="C31" s="20"/>
      <c r="D31" s="20"/>
      <c r="E31" s="73">
        <f>'Condensed Balance Sheet'!C90-E30</f>
        <v>0</v>
      </c>
      <c r="F31" s="73">
        <f>'Condensed Balance Sheet'!C89-F30</f>
        <v>0</v>
      </c>
      <c r="G31" s="73">
        <f>'Condensed Balance Sheet'!C93-G30</f>
        <v>0</v>
      </c>
      <c r="H31" s="73">
        <f>'Condensed Balance Sheet'!C94-H30</f>
        <v>0</v>
      </c>
    </row>
    <row r="32" spans="2:7" ht="12.75">
      <c r="B32" s="55" t="s">
        <v>145</v>
      </c>
      <c r="G32" s="56"/>
    </row>
    <row r="33" ht="12.75">
      <c r="B33" s="5"/>
    </row>
    <row r="34" spans="2:8" ht="12.75">
      <c r="B34" s="17" t="s">
        <v>113</v>
      </c>
      <c r="C34" s="19"/>
      <c r="D34" s="19"/>
      <c r="E34" s="19"/>
      <c r="F34" s="19"/>
      <c r="G34" s="19"/>
      <c r="H34" s="19"/>
    </row>
    <row r="35" spans="2:9" ht="12.75">
      <c r="B35" s="38" t="s">
        <v>116</v>
      </c>
      <c r="C35" s="19">
        <v>152177</v>
      </c>
      <c r="D35" s="19">
        <v>11744</v>
      </c>
      <c r="E35" s="19">
        <v>-93</v>
      </c>
      <c r="F35" s="19">
        <v>194644</v>
      </c>
      <c r="G35" s="19">
        <v>1539</v>
      </c>
      <c r="H35" s="19">
        <f>SUM(C35:G35)</f>
        <v>360011</v>
      </c>
      <c r="I35" s="56"/>
    </row>
    <row r="36" spans="2:8" ht="25.5">
      <c r="B36" s="57" t="s">
        <v>117</v>
      </c>
      <c r="C36" s="21">
        <v>0</v>
      </c>
      <c r="D36" s="21">
        <v>0</v>
      </c>
      <c r="E36" s="21">
        <v>1195</v>
      </c>
      <c r="F36" s="21">
        <v>11079</v>
      </c>
      <c r="G36" s="21">
        <v>0</v>
      </c>
      <c r="H36" s="21">
        <f>SUM(C36:G36)</f>
        <v>12274</v>
      </c>
    </row>
    <row r="37" spans="3:8" ht="12.75">
      <c r="C37" s="19">
        <f aca="true" t="shared" si="1" ref="C37:H37">SUM(C35:C36)</f>
        <v>152177</v>
      </c>
      <c r="D37" s="19">
        <f t="shared" si="1"/>
        <v>11744</v>
      </c>
      <c r="E37" s="19">
        <f t="shared" si="1"/>
        <v>1102</v>
      </c>
      <c r="F37" s="19">
        <f t="shared" si="1"/>
        <v>205723</v>
      </c>
      <c r="G37" s="19">
        <f t="shared" si="1"/>
        <v>1539</v>
      </c>
      <c r="H37" s="19">
        <f t="shared" si="1"/>
        <v>372285</v>
      </c>
    </row>
    <row r="38" spans="3:8" ht="12.75">
      <c r="C38" s="19"/>
      <c r="D38" s="19"/>
      <c r="E38" s="19"/>
      <c r="F38" s="19"/>
      <c r="G38" s="19"/>
      <c r="H38" s="19"/>
    </row>
    <row r="39" spans="2:8" ht="25.5">
      <c r="B39" s="18" t="s">
        <v>118</v>
      </c>
      <c r="C39" s="19">
        <v>0</v>
      </c>
      <c r="D39" s="19">
        <v>0</v>
      </c>
      <c r="E39" s="19">
        <v>-1853</v>
      </c>
      <c r="F39" s="19">
        <v>0</v>
      </c>
      <c r="G39" s="19">
        <v>0</v>
      </c>
      <c r="H39" s="19">
        <f>SUM(C39:G39)</f>
        <v>-1853</v>
      </c>
    </row>
    <row r="40" spans="2:8" ht="12.75">
      <c r="B40" s="18"/>
      <c r="C40" s="19"/>
      <c r="D40" s="19"/>
      <c r="E40" s="19"/>
      <c r="F40" s="19"/>
      <c r="G40" s="19"/>
      <c r="H40" s="19"/>
    </row>
    <row r="41" spans="2:8" ht="25.5">
      <c r="B41" s="18" t="s">
        <v>126</v>
      </c>
      <c r="C41" s="19">
        <v>0</v>
      </c>
      <c r="D41" s="19">
        <v>0</v>
      </c>
      <c r="E41" s="19">
        <v>370</v>
      </c>
      <c r="F41" s="19">
        <v>0</v>
      </c>
      <c r="G41" s="19">
        <v>0</v>
      </c>
      <c r="H41" s="19">
        <f>SUM(C41:G41)</f>
        <v>370</v>
      </c>
    </row>
    <row r="42" spans="2:8" ht="12.75">
      <c r="B42" s="18"/>
      <c r="C42" s="19"/>
      <c r="D42" s="19"/>
      <c r="E42" s="19"/>
      <c r="F42" s="19"/>
      <c r="G42" s="19"/>
      <c r="H42" s="19"/>
    </row>
    <row r="43" spans="2:8" ht="12.75">
      <c r="B43" s="17" t="s">
        <v>162</v>
      </c>
      <c r="C43" s="19">
        <v>0</v>
      </c>
      <c r="D43" s="19">
        <v>0</v>
      </c>
      <c r="E43" s="19">
        <v>0</v>
      </c>
      <c r="F43" s="19">
        <f>'Condensed Income Statement'!G47</f>
        <v>12376</v>
      </c>
      <c r="G43" s="19">
        <f>'Condensed Income Statement'!G48</f>
        <v>376</v>
      </c>
      <c r="H43" s="19">
        <f>SUM(C43:G43)</f>
        <v>12752</v>
      </c>
    </row>
    <row r="44" spans="3:8" ht="12.75">
      <c r="C44" s="19"/>
      <c r="D44" s="19"/>
      <c r="E44" s="19"/>
      <c r="F44" s="19"/>
      <c r="G44" s="19"/>
      <c r="H44" s="19"/>
    </row>
    <row r="45" spans="2:8" ht="25.5">
      <c r="B45" s="76" t="s">
        <v>153</v>
      </c>
      <c r="C45" s="19">
        <v>0</v>
      </c>
      <c r="D45" s="19">
        <v>0</v>
      </c>
      <c r="E45" s="19">
        <v>0</v>
      </c>
      <c r="F45" s="19">
        <v>-22827</v>
      </c>
      <c r="G45" s="19">
        <v>0</v>
      </c>
      <c r="H45" s="19">
        <f>SUM(C45:G45)</f>
        <v>-22827</v>
      </c>
    </row>
    <row r="46" spans="3:8" ht="12.75">
      <c r="C46" s="19"/>
      <c r="D46" s="19"/>
      <c r="E46" s="19"/>
      <c r="F46" s="19"/>
      <c r="G46" s="19"/>
      <c r="H46" s="19"/>
    </row>
    <row r="47" spans="2:8" ht="12.75" customHeight="1" thickBot="1">
      <c r="B47" s="17" t="s">
        <v>146</v>
      </c>
      <c r="C47" s="1">
        <f aca="true" t="shared" si="2" ref="C47:H47">SUM(C37:C46)</f>
        <v>152177</v>
      </c>
      <c r="D47" s="1">
        <f t="shared" si="2"/>
        <v>11744</v>
      </c>
      <c r="E47" s="1">
        <f t="shared" si="2"/>
        <v>-381</v>
      </c>
      <c r="F47" s="1">
        <f t="shared" si="2"/>
        <v>195272</v>
      </c>
      <c r="G47" s="1">
        <f t="shared" si="2"/>
        <v>1915</v>
      </c>
      <c r="H47" s="1">
        <f t="shared" si="2"/>
        <v>360727</v>
      </c>
    </row>
    <row r="48" spans="3:8" ht="13.5" thickTop="1">
      <c r="C48" s="20"/>
      <c r="D48" s="20"/>
      <c r="E48" s="20"/>
      <c r="F48" s="20"/>
      <c r="G48" s="20"/>
      <c r="H48" s="20"/>
    </row>
    <row r="49" spans="5:8" ht="12.75">
      <c r="E49" s="19"/>
      <c r="F49" s="19"/>
      <c r="G49" s="19"/>
      <c r="H49" s="19"/>
    </row>
    <row r="50" spans="2:8" ht="12.75">
      <c r="B50" s="83" t="s">
        <v>108</v>
      </c>
      <c r="C50" s="89"/>
      <c r="D50" s="89"/>
      <c r="E50" s="89"/>
      <c r="F50" s="89"/>
      <c r="G50" s="89"/>
      <c r="H50" s="84"/>
    </row>
    <row r="51" spans="2:8" ht="12.75">
      <c r="B51" s="89"/>
      <c r="C51" s="89"/>
      <c r="D51" s="89"/>
      <c r="E51" s="89"/>
      <c r="F51" s="89"/>
      <c r="G51" s="89"/>
      <c r="H51" s="84"/>
    </row>
    <row r="54" ht="12.75">
      <c r="B54" s="38"/>
    </row>
  </sheetData>
  <mergeCells count="2">
    <mergeCell ref="B50:H51"/>
    <mergeCell ref="B4:H4"/>
  </mergeCells>
  <printOptions/>
  <pageMargins left="0.5" right="0.5" top="0.5" bottom="0.5" header="0.5" footer="0.5"/>
  <pageSetup fitToHeight="1"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B2:G77"/>
  <sheetViews>
    <sheetView zoomScale="80" zoomScaleNormal="80" workbookViewId="0" topLeftCell="A25">
      <selection activeCell="C40" sqref="C40"/>
    </sheetView>
  </sheetViews>
  <sheetFormatPr defaultColWidth="9.140625" defaultRowHeight="12.75"/>
  <cols>
    <col min="1" max="1" width="7.7109375" style="17" customWidth="1"/>
    <col min="2" max="2" width="49.421875" style="17" customWidth="1"/>
    <col min="3" max="3" width="17.7109375" style="17" customWidth="1"/>
    <col min="4" max="4" width="1.7109375" style="28" customWidth="1"/>
    <col min="5" max="5" width="18.57421875" style="17" customWidth="1"/>
    <col min="6" max="6" width="7.7109375" style="64" customWidth="1"/>
    <col min="7" max="16384" width="9.140625" style="17" customWidth="1"/>
  </cols>
  <sheetData>
    <row r="2" spans="2:7" ht="12.75">
      <c r="B2" s="5" t="s">
        <v>0</v>
      </c>
      <c r="C2" s="5"/>
      <c r="D2" s="6"/>
      <c r="E2" s="5"/>
      <c r="F2" s="59"/>
      <c r="G2" s="5"/>
    </row>
    <row r="3" spans="2:7" ht="12.75">
      <c r="B3" s="5"/>
      <c r="C3" s="5"/>
      <c r="D3" s="6"/>
      <c r="E3" s="5"/>
      <c r="F3" s="59"/>
      <c r="G3" s="5"/>
    </row>
    <row r="4" spans="2:7" ht="12.75" customHeight="1">
      <c r="B4" s="85" t="s">
        <v>140</v>
      </c>
      <c r="C4" s="85"/>
      <c r="D4" s="85"/>
      <c r="E4" s="85"/>
      <c r="F4" s="60"/>
      <c r="G4" s="60"/>
    </row>
    <row r="5" spans="2:7" ht="12.75">
      <c r="B5" s="85"/>
      <c r="C5" s="85"/>
      <c r="D5" s="85"/>
      <c r="E5" s="85"/>
      <c r="F5" s="60"/>
      <c r="G5" s="60"/>
    </row>
    <row r="6" spans="2:7" ht="12.75">
      <c r="B6" s="47"/>
      <c r="C6" s="47"/>
      <c r="D6" s="61"/>
      <c r="E6" s="47"/>
      <c r="F6" s="62"/>
      <c r="G6" s="5"/>
    </row>
    <row r="7" spans="2:7" ht="12.75">
      <c r="B7" s="5" t="s">
        <v>65</v>
      </c>
      <c r="C7" s="5"/>
      <c r="D7" s="6"/>
      <c r="E7" s="5"/>
      <c r="F7" s="59"/>
      <c r="G7" s="5"/>
    </row>
    <row r="9" spans="3:6" ht="12.75">
      <c r="C9" s="11" t="s">
        <v>142</v>
      </c>
      <c r="D9" s="12"/>
      <c r="E9" s="11" t="str">
        <f>C9</f>
        <v>9 months ended</v>
      </c>
      <c r="F9" s="63"/>
    </row>
    <row r="10" spans="3:6" ht="13.5" thickBot="1">
      <c r="C10" s="14" t="s">
        <v>139</v>
      </c>
      <c r="D10" s="12"/>
      <c r="E10" s="14" t="s">
        <v>141</v>
      </c>
      <c r="F10" s="63"/>
    </row>
    <row r="11" spans="3:6" ht="12.75">
      <c r="C11" s="12"/>
      <c r="D11" s="12"/>
      <c r="E11" s="13"/>
      <c r="F11" s="63"/>
    </row>
    <row r="12" spans="3:6" ht="12.75">
      <c r="C12" s="34" t="s">
        <v>8</v>
      </c>
      <c r="D12" s="13"/>
      <c r="E12" s="34" t="s">
        <v>8</v>
      </c>
      <c r="F12" s="63"/>
    </row>
    <row r="13" spans="3:6" ht="12.75">
      <c r="C13" s="34"/>
      <c r="D13" s="13"/>
      <c r="E13" s="34"/>
      <c r="F13" s="63"/>
    </row>
    <row r="14" spans="2:5" ht="12.75">
      <c r="B14" s="5" t="s">
        <v>66</v>
      </c>
      <c r="C14" s="19"/>
      <c r="D14" s="20"/>
      <c r="E14" s="19"/>
    </row>
    <row r="15" spans="2:5" ht="12.75">
      <c r="B15" s="17" t="s">
        <v>150</v>
      </c>
      <c r="C15" s="19">
        <v>42745</v>
      </c>
      <c r="D15" s="20"/>
      <c r="E15" s="19">
        <v>44678</v>
      </c>
    </row>
    <row r="16" spans="2:5" ht="12.75">
      <c r="B16" s="17" t="s">
        <v>74</v>
      </c>
      <c r="C16" s="19">
        <v>-23317</v>
      </c>
      <c r="D16" s="20"/>
      <c r="E16" s="20">
        <v>-41476</v>
      </c>
    </row>
    <row r="17" spans="3:5" ht="12.75">
      <c r="C17" s="21"/>
      <c r="D17" s="20"/>
      <c r="E17" s="21"/>
    </row>
    <row r="18" spans="2:5" ht="12.75">
      <c r="B18" s="18" t="s">
        <v>151</v>
      </c>
      <c r="C18" s="19">
        <f>SUM(C15:C17)</f>
        <v>19428</v>
      </c>
      <c r="D18" s="20"/>
      <c r="E18" s="19">
        <f>SUM(E15:E17)</f>
        <v>3202</v>
      </c>
    </row>
    <row r="19" spans="3:5" ht="12.75">
      <c r="C19" s="19"/>
      <c r="D19" s="20"/>
      <c r="E19" s="19"/>
    </row>
    <row r="20" spans="2:5" ht="12.75">
      <c r="B20" s="5" t="s">
        <v>67</v>
      </c>
      <c r="C20" s="19"/>
      <c r="D20" s="20"/>
      <c r="E20" s="19"/>
    </row>
    <row r="21" spans="2:5" ht="12.75">
      <c r="B21" s="17" t="s">
        <v>73</v>
      </c>
      <c r="C21" s="19">
        <v>-16022</v>
      </c>
      <c r="D21" s="20"/>
      <c r="E21" s="19">
        <v>-19551</v>
      </c>
    </row>
    <row r="22" spans="3:5" ht="12.75">
      <c r="C22" s="19"/>
      <c r="D22" s="20"/>
      <c r="E22" s="19"/>
    </row>
    <row r="23" spans="2:5" ht="12.75">
      <c r="B23" s="5" t="s">
        <v>68</v>
      </c>
      <c r="C23" s="19"/>
      <c r="D23" s="20"/>
      <c r="E23" s="19"/>
    </row>
    <row r="24" spans="2:5" ht="12.75">
      <c r="B24" s="18" t="s">
        <v>147</v>
      </c>
      <c r="C24" s="19">
        <v>-45218</v>
      </c>
      <c r="D24" s="20"/>
      <c r="E24" s="19">
        <v>-5842</v>
      </c>
    </row>
    <row r="25" spans="3:5" ht="12.75">
      <c r="C25" s="21"/>
      <c r="D25" s="20"/>
      <c r="E25" s="21"/>
    </row>
    <row r="26" spans="2:5" ht="12.75">
      <c r="B26" s="43" t="s">
        <v>152</v>
      </c>
      <c r="C26" s="19">
        <f>+C18+C21+C24</f>
        <v>-41812</v>
      </c>
      <c r="D26" s="20"/>
      <c r="E26" s="19">
        <f>+E18+E21+E24</f>
        <v>-22191</v>
      </c>
    </row>
    <row r="27" spans="2:5" ht="12.75">
      <c r="B27" s="5"/>
      <c r="C27" s="19"/>
      <c r="D27" s="20"/>
      <c r="E27" s="19"/>
    </row>
    <row r="28" spans="2:5" ht="25.5">
      <c r="B28" s="43" t="s">
        <v>75</v>
      </c>
      <c r="C28" s="19">
        <v>48207</v>
      </c>
      <c r="D28" s="20"/>
      <c r="E28" s="19">
        <v>62792</v>
      </c>
    </row>
    <row r="29" spans="2:5" ht="12.75">
      <c r="B29" s="43"/>
      <c r="C29" s="19"/>
      <c r="D29" s="20"/>
      <c r="E29" s="19"/>
    </row>
    <row r="30" spans="2:5" ht="27.75" customHeight="1" thickBot="1">
      <c r="B30" s="43" t="s">
        <v>123</v>
      </c>
      <c r="C30" s="1">
        <f>+C26+C28</f>
        <v>6395</v>
      </c>
      <c r="D30" s="20"/>
      <c r="E30" s="1">
        <f>+E26+E28</f>
        <v>40601</v>
      </c>
    </row>
    <row r="31" spans="2:5" ht="13.5" thickTop="1">
      <c r="B31" s="5"/>
      <c r="C31" s="19"/>
      <c r="D31" s="20"/>
      <c r="E31" s="20"/>
    </row>
    <row r="32" spans="3:5" ht="12.75">
      <c r="C32" s="19"/>
      <c r="D32" s="20"/>
      <c r="E32" s="19"/>
    </row>
    <row r="33" spans="2:5" ht="12.75">
      <c r="B33" s="83" t="s">
        <v>114</v>
      </c>
      <c r="C33" s="89"/>
      <c r="D33" s="89"/>
      <c r="E33" s="89"/>
    </row>
    <row r="34" spans="2:5" ht="12.75">
      <c r="B34" s="89"/>
      <c r="C34" s="89"/>
      <c r="D34" s="89"/>
      <c r="E34" s="89"/>
    </row>
    <row r="35" ht="12.75">
      <c r="E35" s="64"/>
    </row>
    <row r="36" ht="12.75">
      <c r="E36" s="64"/>
    </row>
    <row r="37" ht="12.75">
      <c r="E37" s="64"/>
    </row>
    <row r="38" ht="12.75">
      <c r="E38" s="64"/>
    </row>
    <row r="39" ht="12.75">
      <c r="E39" s="64"/>
    </row>
    <row r="40" ht="12.75">
      <c r="E40" s="64"/>
    </row>
    <row r="41" ht="12.75">
      <c r="E41" s="64"/>
    </row>
    <row r="42" ht="12.75">
      <c r="E42" s="64"/>
    </row>
    <row r="43" ht="12.75">
      <c r="E43" s="64"/>
    </row>
    <row r="44" ht="12.75">
      <c r="E44" s="64"/>
    </row>
    <row r="45" ht="12.75">
      <c r="E45" s="64"/>
    </row>
    <row r="46" ht="12.75">
      <c r="E46" s="64"/>
    </row>
    <row r="47" ht="12.75">
      <c r="E47" s="65"/>
    </row>
    <row r="48" ht="12.75">
      <c r="E48" s="65"/>
    </row>
    <row r="49" ht="12.75">
      <c r="E49" s="65"/>
    </row>
    <row r="50" ht="12.75">
      <c r="E50" s="65"/>
    </row>
    <row r="51" ht="12.75">
      <c r="E51" s="65"/>
    </row>
    <row r="52" ht="12.75">
      <c r="E52" s="65"/>
    </row>
    <row r="53" ht="12.75">
      <c r="E53" s="65"/>
    </row>
    <row r="54" ht="12.75">
      <c r="E54" s="65"/>
    </row>
    <row r="55" ht="12.75">
      <c r="E55" s="65"/>
    </row>
    <row r="56" ht="12.75">
      <c r="E56" s="65"/>
    </row>
    <row r="57" ht="12.75">
      <c r="E57" s="65"/>
    </row>
    <row r="58" ht="12.75">
      <c r="E58" s="65"/>
    </row>
    <row r="59" ht="12.75">
      <c r="E59" s="65"/>
    </row>
    <row r="60" ht="12.75">
      <c r="E60" s="65"/>
    </row>
    <row r="61" ht="12.75">
      <c r="E61" s="65"/>
    </row>
    <row r="62" ht="12.75">
      <c r="E62" s="65"/>
    </row>
    <row r="63" ht="12.75">
      <c r="E63" s="65"/>
    </row>
    <row r="64" ht="12.75">
      <c r="E64" s="65"/>
    </row>
    <row r="65" ht="12.75">
      <c r="E65" s="65"/>
    </row>
    <row r="66" ht="12.75">
      <c r="E66" s="65"/>
    </row>
    <row r="67" ht="12.75">
      <c r="E67" s="65"/>
    </row>
    <row r="68" ht="12.75">
      <c r="E68" s="65"/>
    </row>
    <row r="69" ht="12.75">
      <c r="E69" s="65"/>
    </row>
    <row r="70" ht="12.75">
      <c r="E70" s="65"/>
    </row>
    <row r="71" ht="12.75">
      <c r="E71" s="65"/>
    </row>
    <row r="72" ht="12.75">
      <c r="E72" s="65"/>
    </row>
    <row r="73" ht="12.75">
      <c r="E73" s="65"/>
    </row>
    <row r="74" ht="12.75">
      <c r="E74" s="65"/>
    </row>
    <row r="75" ht="12.75">
      <c r="E75" s="65"/>
    </row>
    <row r="76" ht="12.75">
      <c r="E76" s="65"/>
    </row>
    <row r="77" ht="12.75">
      <c r="E77" s="65"/>
    </row>
  </sheetData>
  <mergeCells count="2">
    <mergeCell ref="B4:E5"/>
    <mergeCell ref="B33:E34"/>
  </mergeCells>
  <printOptions/>
  <pageMargins left="0.5" right="0.5" top="0.5" bottom="0.5" header="0.5" footer="0.5"/>
  <pageSetup fitToHeight="1" fitToWidth="1" horizontalDpi="300" verticalDpi="3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MAA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dc:creator>
  <cp:keywords/>
  <dc:description/>
  <cp:lastModifiedBy>Ezza</cp:lastModifiedBy>
  <cp:lastPrinted>2006-11-22T06:29:30Z</cp:lastPrinted>
  <dcterms:created xsi:type="dcterms:W3CDTF">2003-05-25T08:58:51Z</dcterms:created>
  <dcterms:modified xsi:type="dcterms:W3CDTF">2006-11-27T07:57:35Z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